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5.3\Contabilidad\NOMINAS RH\"/>
    </mc:Choice>
  </mc:AlternateContent>
  <xr:revisionPtr revIDLastSave="0" documentId="13_ncr:1_{D4DA89AC-F984-493C-BCE5-7432FFD31B63}" xr6:coauthVersionLast="47" xr6:coauthVersionMax="47" xr10:uidLastSave="{00000000-0000-0000-0000-000000000000}"/>
  <bookViews>
    <workbookView xWindow="14295" yWindow="0" windowWidth="14610" windowHeight="15585" firstSheet="39" activeTab="46" xr2:uid="{00000000-000D-0000-FFFF-FFFF00000000}"/>
  </bookViews>
  <sheets>
    <sheet name="Nom 01" sheetId="109" r:id="rId1"/>
    <sheet name="Nom 02" sheetId="110" r:id="rId2"/>
    <sheet name="Nom 03" sheetId="111" r:id="rId3"/>
    <sheet name="Nom 04" sheetId="115" r:id="rId4"/>
    <sheet name="Nom 05" sheetId="112" r:id="rId5"/>
    <sheet name="Nom 06" sheetId="113" r:id="rId6"/>
    <sheet name="Nom 07" sheetId="114" r:id="rId7"/>
    <sheet name="Nom 08" sheetId="116" r:id="rId8"/>
    <sheet name="Nom 09" sheetId="117" r:id="rId9"/>
    <sheet name="Nom 10" sheetId="118" r:id="rId10"/>
    <sheet name="Nom 11" sheetId="119" r:id="rId11"/>
    <sheet name="Nom 12" sheetId="120" r:id="rId12"/>
    <sheet name="Nom 13" sheetId="121" r:id="rId13"/>
    <sheet name="Nom 14" sheetId="122" r:id="rId14"/>
    <sheet name="Nom 15" sheetId="123" r:id="rId15"/>
    <sheet name="Nom 16" sheetId="124" r:id="rId16"/>
    <sheet name="Nom 16 Correccion" sheetId="125" r:id="rId17"/>
    <sheet name="Nom 17" sheetId="126" r:id="rId18"/>
    <sheet name="Nom 18" sheetId="127" r:id="rId19"/>
    <sheet name="Nom 19" sheetId="128" r:id="rId20"/>
    <sheet name="Nom 20" sheetId="129" r:id="rId21"/>
    <sheet name="Nom 21" sheetId="130" r:id="rId22"/>
    <sheet name="Nom 22" sheetId="131" r:id="rId23"/>
    <sheet name="Nom 23" sheetId="132" r:id="rId24"/>
    <sheet name="Nom 24" sheetId="133" r:id="rId25"/>
    <sheet name="Nom 25" sheetId="134" r:id="rId26"/>
    <sheet name="Nom 26" sheetId="135" r:id="rId27"/>
    <sheet name="Nom 27" sheetId="136" r:id="rId28"/>
    <sheet name="Nom 28" sheetId="137" r:id="rId29"/>
    <sheet name="Nom 29" sheetId="138" r:id="rId30"/>
    <sheet name="Nom 30" sheetId="139" r:id="rId31"/>
    <sheet name="Nom 31" sheetId="140" r:id="rId32"/>
    <sheet name="Nom 32" sheetId="141" r:id="rId33"/>
    <sheet name="Nom 33" sheetId="142" r:id="rId34"/>
    <sheet name="Nom 34" sheetId="143" r:id="rId35"/>
    <sheet name="Nom 35" sheetId="144" r:id="rId36"/>
    <sheet name="Nom 36" sheetId="145" r:id="rId37"/>
    <sheet name="Nom 37" sheetId="146" r:id="rId38"/>
    <sheet name="Nom 38" sheetId="147" r:id="rId39"/>
    <sheet name="Nom 39" sheetId="148" r:id="rId40"/>
    <sheet name="Nom 40" sheetId="149" r:id="rId41"/>
    <sheet name="Nom 41" sheetId="150" r:id="rId42"/>
    <sheet name="Nom 42" sheetId="151" r:id="rId43"/>
    <sheet name="Nom 43" sheetId="152" r:id="rId44"/>
    <sheet name="Nom 44" sheetId="153" r:id="rId45"/>
    <sheet name="Nom 45" sheetId="154" r:id="rId46"/>
    <sheet name="Nom 46" sheetId="155" r:id="rId47"/>
  </sheets>
  <definedNames>
    <definedName name="_xlnm._FilterDatabase" localSheetId="15" hidden="1">'Nom 16'!$A$3:$Z$15</definedName>
    <definedName name="_xlnm._FilterDatabase" localSheetId="16" hidden="1">'Nom 16 Correccion'!$A$3:$AB$15</definedName>
    <definedName name="_xlnm.Print_Area" localSheetId="0">'Nom 01'!$A$1:$W$15</definedName>
    <definedName name="_xlnm.Print_Area" localSheetId="1">'Nom 02'!$A$1:$W$15</definedName>
    <definedName name="_xlnm.Print_Area" localSheetId="2">'Nom 03'!$A$1:$W$15</definedName>
    <definedName name="_xlnm.Print_Area" localSheetId="4">'Nom 05'!$A$1:$W$15</definedName>
    <definedName name="_xlnm.Print_Area" localSheetId="5">'Nom 06'!$A$1:$W$14</definedName>
    <definedName name="_xlnm.Print_Area" localSheetId="6">'Nom 07'!$A$1:$W$15</definedName>
    <definedName name="_xlnm.Print_Area" localSheetId="7">'Nom 08'!$A$1:$W$15</definedName>
    <definedName name="_xlnm.Print_Area" localSheetId="8">'Nom 09'!$A$1:$W$15</definedName>
    <definedName name="_xlnm.Print_Area" localSheetId="9">'Nom 10'!$A$1:$W$15</definedName>
    <definedName name="_xlnm.Print_Area" localSheetId="10">'Nom 11'!$A$1:$W$16</definedName>
    <definedName name="_xlnm.Print_Area" localSheetId="11">'Nom 12'!$A$1:$W$16</definedName>
    <definedName name="_xlnm.Print_Area" localSheetId="12">'Nom 13'!$A$1:$W$16</definedName>
    <definedName name="_xlnm.Print_Area" localSheetId="13">'Nom 14'!$A$1:$W$16</definedName>
    <definedName name="_xlnm.Print_Area" localSheetId="14">'Nom 15'!$A$1:$W$16</definedName>
    <definedName name="_xlnm.Print_Area" localSheetId="17">'Nom 17'!$A$1:$W$16</definedName>
    <definedName name="_xlnm.Print_Area" localSheetId="18">'Nom 18'!$A$1:$W$16</definedName>
    <definedName name="_xlnm.Print_Area" localSheetId="19">'Nom 19'!$A$1:$W$16</definedName>
    <definedName name="_xlnm.Print_Area" localSheetId="20">'Nom 20'!$A$1:$W$16</definedName>
    <definedName name="_xlnm.Print_Area" localSheetId="21">'Nom 21'!$A$1:$W$16</definedName>
    <definedName name="_xlnm.Print_Area" localSheetId="22">'Nom 22'!$A$1:$W$16</definedName>
    <definedName name="_xlnm.Print_Area" localSheetId="23">'Nom 23'!$A$1:$W$16</definedName>
    <definedName name="_xlnm.Print_Area" localSheetId="24">'Nom 24'!$A$1:$W$16</definedName>
    <definedName name="_xlnm.Print_Area" localSheetId="25">'Nom 25'!$A$1:$W$16</definedName>
    <definedName name="_xlnm.Print_Area" localSheetId="26">'Nom 26'!$A$1:$W$16</definedName>
    <definedName name="_xlnm.Print_Area" localSheetId="27">'Nom 27'!$A$1:$W$16</definedName>
    <definedName name="_xlnm.Print_Area" localSheetId="28">'Nom 28'!$A$1:$W$16</definedName>
    <definedName name="_xlnm.Print_Area" localSheetId="29">'Nom 29'!$A$1:$W$15</definedName>
    <definedName name="_xlnm.Print_Area" localSheetId="30">'Nom 30'!$A$1:$W$15</definedName>
    <definedName name="_xlnm.Print_Area" localSheetId="31">'Nom 31'!$A$1:$W$15</definedName>
    <definedName name="_xlnm.Print_Area" localSheetId="32">'Nom 32'!$A$1:$W$15</definedName>
    <definedName name="_xlnm.Print_Area" localSheetId="33">'Nom 33'!$A$1:$W$15</definedName>
    <definedName name="_xlnm.Print_Area" localSheetId="34">'Nom 34'!$A$1:$W$15</definedName>
    <definedName name="_xlnm.Print_Area" localSheetId="35">'Nom 35'!$A$1:$W$15</definedName>
    <definedName name="_xlnm.Print_Area" localSheetId="36">'Nom 36'!$A$1:$W$16</definedName>
    <definedName name="_xlnm.Print_Area" localSheetId="37">'Nom 37'!$A$1:$W$16</definedName>
    <definedName name="_xlnm.Print_Area" localSheetId="38">'Nom 38'!$A$1:$W$16</definedName>
    <definedName name="_xlnm.Print_Area" localSheetId="39">'Nom 39'!$A$1:$W$16</definedName>
    <definedName name="_xlnm.Print_Area" localSheetId="40">'Nom 40'!$A$1:$W$15</definedName>
    <definedName name="_xlnm.Print_Area" localSheetId="41">'Nom 41'!$A$1:$W$15</definedName>
    <definedName name="_xlnm.Print_Area" localSheetId="42">'Nom 42'!$A$1:$W$17</definedName>
    <definedName name="_xlnm.Print_Area" localSheetId="43">'Nom 43'!$A$1:$W$17</definedName>
    <definedName name="_xlnm.Print_Area" localSheetId="44">'Nom 44'!$A$1:$W$17</definedName>
    <definedName name="_xlnm.Print_Area" localSheetId="45">'Nom 45'!$A$1:$W$17</definedName>
    <definedName name="_xlnm.Print_Area" localSheetId="46">'Nom 46'!$A$1:$W$19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155" l="1"/>
  <c r="U4" i="155" l="1"/>
  <c r="V16" i="155" l="1"/>
  <c r="Y16" i="155" s="1"/>
  <c r="Z16" i="155" s="1"/>
  <c r="V15" i="155"/>
  <c r="Y15" i="155" s="1"/>
  <c r="Z15" i="155" s="1"/>
  <c r="L15" i="155"/>
  <c r="E15" i="155"/>
  <c r="U18" i="155"/>
  <c r="S18" i="155"/>
  <c r="R18" i="155"/>
  <c r="Q18" i="155"/>
  <c r="P18" i="155"/>
  <c r="O18" i="155"/>
  <c r="N18" i="155"/>
  <c r="M18" i="155"/>
  <c r="K18" i="155"/>
  <c r="J18" i="155"/>
  <c r="G18" i="155"/>
  <c r="D18" i="155"/>
  <c r="C18" i="155"/>
  <c r="V17" i="155"/>
  <c r="Y17" i="155" s="1"/>
  <c r="Z17" i="155" s="1"/>
  <c r="E17" i="155"/>
  <c r="L17" i="155" s="1"/>
  <c r="V14" i="155"/>
  <c r="W14" i="155" s="1"/>
  <c r="E14" i="155"/>
  <c r="L14" i="155" s="1"/>
  <c r="V13" i="155"/>
  <c r="Y13" i="155" s="1"/>
  <c r="Z13" i="155" s="1"/>
  <c r="E13" i="155"/>
  <c r="L13" i="155" s="1"/>
  <c r="V12" i="155"/>
  <c r="W12" i="155" s="1"/>
  <c r="V11" i="155"/>
  <c r="W11" i="155" s="1"/>
  <c r="E11" i="155"/>
  <c r="L11" i="155" s="1"/>
  <c r="Y10" i="155"/>
  <c r="Z10" i="155" s="1"/>
  <c r="W10" i="155"/>
  <c r="L10" i="155"/>
  <c r="E10" i="155"/>
  <c r="V9" i="155"/>
  <c r="Y9" i="155" s="1"/>
  <c r="Z9" i="155" s="1"/>
  <c r="E9" i="155"/>
  <c r="L9" i="155" s="1"/>
  <c r="V8" i="155"/>
  <c r="W8" i="155" s="1"/>
  <c r="E8" i="155"/>
  <c r="L8" i="155" s="1"/>
  <c r="V7" i="155"/>
  <c r="Y7" i="155" s="1"/>
  <c r="Z7" i="155" s="1"/>
  <c r="E7" i="155"/>
  <c r="L7" i="155" s="1"/>
  <c r="W6" i="155"/>
  <c r="E6" i="155"/>
  <c r="L6" i="155" s="1"/>
  <c r="T5" i="155"/>
  <c r="V5" i="155" s="1"/>
  <c r="Y5" i="155" s="1"/>
  <c r="Z5" i="155" s="1"/>
  <c r="F5" i="155"/>
  <c r="H5" i="155" s="1"/>
  <c r="E5" i="155"/>
  <c r="L5" i="155" s="1"/>
  <c r="T4" i="155"/>
  <c r="F4" i="155"/>
  <c r="E4" i="155"/>
  <c r="L4" i="155" s="1"/>
  <c r="Q16" i="154"/>
  <c r="T4" i="154"/>
  <c r="V14" i="154"/>
  <c r="E14" i="154"/>
  <c r="L14" i="154" s="1"/>
  <c r="U16" i="154"/>
  <c r="S16" i="154"/>
  <c r="R16" i="154"/>
  <c r="P16" i="154"/>
  <c r="O16" i="154"/>
  <c r="N16" i="154"/>
  <c r="M16" i="154"/>
  <c r="K16" i="154"/>
  <c r="J16" i="154"/>
  <c r="G16" i="154"/>
  <c r="D16" i="154"/>
  <c r="C16" i="154"/>
  <c r="V15" i="154"/>
  <c r="Y15" i="154" s="1"/>
  <c r="Z15" i="154" s="1"/>
  <c r="E15" i="154"/>
  <c r="L15" i="154" s="1"/>
  <c r="V13" i="154"/>
  <c r="W13" i="154" s="1"/>
  <c r="E13" i="154"/>
  <c r="L13" i="154" s="1"/>
  <c r="V12" i="154"/>
  <c r="W12" i="154" s="1"/>
  <c r="V11" i="154"/>
  <c r="Y11" i="154" s="1"/>
  <c r="Z11" i="154" s="1"/>
  <c r="E11" i="154"/>
  <c r="L11" i="154" s="1"/>
  <c r="Y10" i="154"/>
  <c r="Z10" i="154" s="1"/>
  <c r="W10" i="154"/>
  <c r="E10" i="154"/>
  <c r="L10" i="154" s="1"/>
  <c r="V9" i="154"/>
  <c r="Y9" i="154" s="1"/>
  <c r="Z9" i="154" s="1"/>
  <c r="E9" i="154"/>
  <c r="L9" i="154" s="1"/>
  <c r="V8" i="154"/>
  <c r="Y8" i="154" s="1"/>
  <c r="Z8" i="154" s="1"/>
  <c r="E8" i="154"/>
  <c r="L8" i="154" s="1"/>
  <c r="V7" i="154"/>
  <c r="Y7" i="154" s="1"/>
  <c r="Z7" i="154" s="1"/>
  <c r="L7" i="154"/>
  <c r="E7" i="154"/>
  <c r="V6" i="154"/>
  <c r="W6" i="154" s="1"/>
  <c r="E6" i="154"/>
  <c r="L6" i="154" s="1"/>
  <c r="T5" i="154"/>
  <c r="V5" i="154" s="1"/>
  <c r="F5" i="154"/>
  <c r="E5" i="154"/>
  <c r="L5" i="154" s="1"/>
  <c r="V4" i="154"/>
  <c r="F4" i="154"/>
  <c r="E4" i="154"/>
  <c r="L4" i="154" s="1"/>
  <c r="T15" i="153"/>
  <c r="V14" i="153"/>
  <c r="Y14" i="153" s="1"/>
  <c r="Z14" i="153" s="1"/>
  <c r="L14" i="153"/>
  <c r="E14" i="153"/>
  <c r="U16" i="153"/>
  <c r="S16" i="153"/>
  <c r="R16" i="153"/>
  <c r="Q16" i="153"/>
  <c r="P16" i="153"/>
  <c r="O16" i="153"/>
  <c r="N16" i="153"/>
  <c r="M16" i="153"/>
  <c r="K16" i="153"/>
  <c r="J16" i="153"/>
  <c r="G16" i="153"/>
  <c r="D16" i="153"/>
  <c r="C16" i="153"/>
  <c r="V15" i="153"/>
  <c r="Y15" i="153" s="1"/>
  <c r="Z15" i="153" s="1"/>
  <c r="E15" i="153"/>
  <c r="L15" i="153" s="1"/>
  <c r="V13" i="153"/>
  <c r="Y13" i="153" s="1"/>
  <c r="Z13" i="153" s="1"/>
  <c r="T12" i="153"/>
  <c r="E12" i="153"/>
  <c r="L12" i="153" s="1"/>
  <c r="V11" i="153"/>
  <c r="W11" i="153" s="1"/>
  <c r="E11" i="153"/>
  <c r="L11" i="153" s="1"/>
  <c r="Y10" i="153"/>
  <c r="Z10" i="153" s="1"/>
  <c r="W10" i="153"/>
  <c r="E10" i="153"/>
  <c r="L10" i="153" s="1"/>
  <c r="V9" i="153"/>
  <c r="W9" i="153" s="1"/>
  <c r="L9" i="153"/>
  <c r="E9" i="153"/>
  <c r="V8" i="153"/>
  <c r="Y8" i="153" s="1"/>
  <c r="Z8" i="153" s="1"/>
  <c r="E8" i="153"/>
  <c r="L8" i="153" s="1"/>
  <c r="V7" i="153"/>
  <c r="Y7" i="153" s="1"/>
  <c r="Z7" i="153" s="1"/>
  <c r="E7" i="153"/>
  <c r="L7" i="153" s="1"/>
  <c r="V6" i="153"/>
  <c r="Y6" i="153" s="1"/>
  <c r="Z6" i="153" s="1"/>
  <c r="E6" i="153"/>
  <c r="L6" i="153" s="1"/>
  <c r="T5" i="153"/>
  <c r="V5" i="153" s="1"/>
  <c r="W5" i="153" s="1"/>
  <c r="F5" i="153"/>
  <c r="E5" i="153"/>
  <c r="L5" i="153" s="1"/>
  <c r="T4" i="153"/>
  <c r="T16" i="153" s="1"/>
  <c r="F4" i="153"/>
  <c r="F16" i="153" s="1"/>
  <c r="E4" i="153"/>
  <c r="V13" i="152"/>
  <c r="V6" i="152"/>
  <c r="Y6" i="152" s="1"/>
  <c r="Z6" i="152" s="1"/>
  <c r="U16" i="152"/>
  <c r="S16" i="152"/>
  <c r="R16" i="152"/>
  <c r="Q16" i="152"/>
  <c r="P16" i="152"/>
  <c r="O16" i="152"/>
  <c r="N16" i="152"/>
  <c r="M16" i="152"/>
  <c r="K16" i="152"/>
  <c r="J16" i="152"/>
  <c r="G16" i="152"/>
  <c r="D16" i="152"/>
  <c r="C16" i="152"/>
  <c r="V15" i="152"/>
  <c r="Y15" i="152" s="1"/>
  <c r="Z15" i="152" s="1"/>
  <c r="E15" i="152"/>
  <c r="L15" i="152" s="1"/>
  <c r="V14" i="152"/>
  <c r="Y14" i="152" s="1"/>
  <c r="Z14" i="152" s="1"/>
  <c r="T13" i="152"/>
  <c r="E13" i="152"/>
  <c r="L13" i="152" s="1"/>
  <c r="Y12" i="152"/>
  <c r="Z12" i="152" s="1"/>
  <c r="W12" i="152"/>
  <c r="V12" i="152"/>
  <c r="E12" i="152"/>
  <c r="L12" i="152" s="1"/>
  <c r="Y11" i="152"/>
  <c r="Z11" i="152" s="1"/>
  <c r="W11" i="152"/>
  <c r="E11" i="152"/>
  <c r="L11" i="152" s="1"/>
  <c r="E10" i="152"/>
  <c r="L10" i="152" s="1"/>
  <c r="V9" i="152"/>
  <c r="Y9" i="152" s="1"/>
  <c r="Z9" i="152" s="1"/>
  <c r="E9" i="152"/>
  <c r="L9" i="152" s="1"/>
  <c r="V8" i="152"/>
  <c r="W8" i="152" s="1"/>
  <c r="E8" i="152"/>
  <c r="L8" i="152" s="1"/>
  <c r="V7" i="152"/>
  <c r="W7" i="152" s="1"/>
  <c r="L7" i="152"/>
  <c r="E7" i="152"/>
  <c r="E6" i="152"/>
  <c r="L6" i="152" s="1"/>
  <c r="T5" i="152"/>
  <c r="V5" i="152" s="1"/>
  <c r="L5" i="152"/>
  <c r="F5" i="152"/>
  <c r="I5" i="152" s="1"/>
  <c r="E5" i="152"/>
  <c r="V4" i="152"/>
  <c r="T4" i="152"/>
  <c r="L4" i="152"/>
  <c r="I4" i="152"/>
  <c r="I16" i="152" s="1"/>
  <c r="F4" i="152"/>
  <c r="F16" i="152" s="1"/>
  <c r="E4" i="152"/>
  <c r="H4" i="152" s="1"/>
  <c r="Y14" i="151"/>
  <c r="Z14" i="151" s="1"/>
  <c r="Q16" i="151"/>
  <c r="V13" i="151"/>
  <c r="W5" i="151"/>
  <c r="W6" i="151"/>
  <c r="W7" i="151"/>
  <c r="W8" i="151"/>
  <c r="W9" i="151"/>
  <c r="W10" i="151"/>
  <c r="W11" i="151"/>
  <c r="W12" i="151"/>
  <c r="W14" i="151"/>
  <c r="Y12" i="155" l="1"/>
  <c r="Z12" i="155" s="1"/>
  <c r="W16" i="155"/>
  <c r="W7" i="155"/>
  <c r="W15" i="155"/>
  <c r="Y8" i="155"/>
  <c r="Z8" i="155" s="1"/>
  <c r="Y6" i="155"/>
  <c r="Z6" i="155" s="1"/>
  <c r="L18" i="155"/>
  <c r="F18" i="155"/>
  <c r="T18" i="155"/>
  <c r="I5" i="155"/>
  <c r="Y11" i="155"/>
  <c r="Z11" i="155" s="1"/>
  <c r="V4" i="155"/>
  <c r="W13" i="155"/>
  <c r="Y14" i="155"/>
  <c r="Z14" i="155" s="1"/>
  <c r="E18" i="155"/>
  <c r="W5" i="155"/>
  <c r="W9" i="155"/>
  <c r="H4" i="155"/>
  <c r="H18" i="155" s="1"/>
  <c r="W17" i="155"/>
  <c r="I4" i="155"/>
  <c r="I18" i="155" s="1"/>
  <c r="Y14" i="154"/>
  <c r="Z14" i="154" s="1"/>
  <c r="W14" i="154"/>
  <c r="W8" i="154"/>
  <c r="F16" i="154"/>
  <c r="Y6" i="154"/>
  <c r="Z6" i="154" s="1"/>
  <c r="W15" i="154"/>
  <c r="Y12" i="154"/>
  <c r="Z12" i="154" s="1"/>
  <c r="H5" i="154"/>
  <c r="H4" i="154"/>
  <c r="I4" i="154"/>
  <c r="Y5" i="154"/>
  <c r="Z5" i="154" s="1"/>
  <c r="W5" i="154"/>
  <c r="Y4" i="154"/>
  <c r="V16" i="154"/>
  <c r="W4" i="154"/>
  <c r="L16" i="154"/>
  <c r="I5" i="154"/>
  <c r="W7" i="154"/>
  <c r="Y13" i="154"/>
  <c r="Z13" i="154" s="1"/>
  <c r="T16" i="154"/>
  <c r="W9" i="154"/>
  <c r="E16" i="154"/>
  <c r="W11" i="154"/>
  <c r="W14" i="153"/>
  <c r="Y12" i="153"/>
  <c r="Z12" i="153" s="1"/>
  <c r="W12" i="153"/>
  <c r="V4" i="153"/>
  <c r="V16" i="153" s="1"/>
  <c r="E16" i="153"/>
  <c r="W6" i="153"/>
  <c r="Y5" i="153"/>
  <c r="Z5" i="153" s="1"/>
  <c r="Y9" i="153"/>
  <c r="Z9" i="153" s="1"/>
  <c r="Y11" i="153"/>
  <c r="Z11" i="153" s="1"/>
  <c r="W15" i="153"/>
  <c r="I4" i="153"/>
  <c r="W13" i="153"/>
  <c r="I5" i="153"/>
  <c r="W7" i="153"/>
  <c r="H4" i="153"/>
  <c r="W8" i="153"/>
  <c r="L4" i="153"/>
  <c r="L16" i="153" s="1"/>
  <c r="H5" i="153"/>
  <c r="Y7" i="152"/>
  <c r="Z7" i="152" s="1"/>
  <c r="W14" i="152"/>
  <c r="Y8" i="152"/>
  <c r="Z8" i="152" s="1"/>
  <c r="Y13" i="152"/>
  <c r="Z13" i="152" s="1"/>
  <c r="W13" i="152"/>
  <c r="V16" i="152"/>
  <c r="Y5" i="152"/>
  <c r="Z5" i="152" s="1"/>
  <c r="W5" i="152"/>
  <c r="L16" i="152"/>
  <c r="W10" i="152"/>
  <c r="Y10" i="152"/>
  <c r="Z10" i="152" s="1"/>
  <c r="Y4" i="152"/>
  <c r="T16" i="152"/>
  <c r="W9" i="152"/>
  <c r="E16" i="152"/>
  <c r="W4" i="152"/>
  <c r="W6" i="152"/>
  <c r="H5" i="152"/>
  <c r="H16" i="152" s="1"/>
  <c r="W15" i="152"/>
  <c r="V10" i="151"/>
  <c r="Y10" i="151" s="1"/>
  <c r="Z10" i="151" s="1"/>
  <c r="V15" i="151"/>
  <c r="W15" i="151" s="1"/>
  <c r="V14" i="151"/>
  <c r="V8" i="151"/>
  <c r="V5" i="151"/>
  <c r="V6" i="151"/>
  <c r="V7" i="151"/>
  <c r="Y7" i="151" s="1"/>
  <c r="Z7" i="151" s="1"/>
  <c r="Y8" i="151"/>
  <c r="Z8" i="151" s="1"/>
  <c r="V9" i="151"/>
  <c r="V12" i="151"/>
  <c r="Y11" i="151"/>
  <c r="Z11" i="151" s="1"/>
  <c r="T13" i="151"/>
  <c r="T16" i="151" s="1"/>
  <c r="E13" i="151"/>
  <c r="L13" i="151" s="1"/>
  <c r="T10" i="151"/>
  <c r="U16" i="151"/>
  <c r="S16" i="151"/>
  <c r="R16" i="151"/>
  <c r="P16" i="151"/>
  <c r="O16" i="151"/>
  <c r="N16" i="151"/>
  <c r="M16" i="151"/>
  <c r="K16" i="151"/>
  <c r="J16" i="151"/>
  <c r="G16" i="151"/>
  <c r="D16" i="151"/>
  <c r="C16" i="151"/>
  <c r="E15" i="151"/>
  <c r="L15" i="151" s="1"/>
  <c r="E12" i="151"/>
  <c r="L12" i="151" s="1"/>
  <c r="E11" i="151"/>
  <c r="L11" i="151" s="1"/>
  <c r="E10" i="151"/>
  <c r="L10" i="151" s="1"/>
  <c r="Y9" i="151"/>
  <c r="Z9" i="151" s="1"/>
  <c r="E9" i="151"/>
  <c r="L9" i="151" s="1"/>
  <c r="E8" i="151"/>
  <c r="L8" i="151" s="1"/>
  <c r="E7" i="151"/>
  <c r="L7" i="151" s="1"/>
  <c r="Y6" i="151"/>
  <c r="Z6" i="151" s="1"/>
  <c r="E6" i="151"/>
  <c r="L6" i="151" s="1"/>
  <c r="T5" i="151"/>
  <c r="L5" i="151"/>
  <c r="F5" i="151"/>
  <c r="E5" i="151"/>
  <c r="T4" i="151"/>
  <c r="V4" i="151" s="1"/>
  <c r="L4" i="151"/>
  <c r="F4" i="151"/>
  <c r="I4" i="151" s="1"/>
  <c r="E4" i="151"/>
  <c r="E16" i="151" s="1"/>
  <c r="Q14" i="150"/>
  <c r="T13" i="150"/>
  <c r="V13" i="150" s="1"/>
  <c r="Y13" i="150" s="1"/>
  <c r="Z13" i="150" s="1"/>
  <c r="V12" i="150"/>
  <c r="Y12" i="150" s="1"/>
  <c r="Z12" i="150" s="1"/>
  <c r="E12" i="150"/>
  <c r="L12" i="150" s="1"/>
  <c r="U14" i="150"/>
  <c r="S14" i="150"/>
  <c r="R14" i="150"/>
  <c r="P14" i="150"/>
  <c r="O14" i="150"/>
  <c r="N14" i="150"/>
  <c r="M14" i="150"/>
  <c r="K14" i="150"/>
  <c r="J14" i="150"/>
  <c r="G14" i="150"/>
  <c r="D14" i="150"/>
  <c r="C14" i="150"/>
  <c r="E13" i="150"/>
  <c r="L13" i="150" s="1"/>
  <c r="Y11" i="150"/>
  <c r="Z11" i="150" s="1"/>
  <c r="W11" i="150"/>
  <c r="E11" i="150"/>
  <c r="L11" i="150" s="1"/>
  <c r="V10" i="150"/>
  <c r="Y10" i="150" s="1"/>
  <c r="Z10" i="150" s="1"/>
  <c r="E10" i="150"/>
  <c r="L10" i="150" s="1"/>
  <c r="V9" i="150"/>
  <c r="W9" i="150" s="1"/>
  <c r="E9" i="150"/>
  <c r="L9" i="150" s="1"/>
  <c r="V8" i="150"/>
  <c r="W8" i="150" s="1"/>
  <c r="L8" i="150"/>
  <c r="E8" i="150"/>
  <c r="V7" i="150"/>
  <c r="Y7" i="150" s="1"/>
  <c r="Z7" i="150" s="1"/>
  <c r="E7" i="150"/>
  <c r="L7" i="150" s="1"/>
  <c r="V6" i="150"/>
  <c r="Y6" i="150" s="1"/>
  <c r="Z6" i="150" s="1"/>
  <c r="E6" i="150"/>
  <c r="L6" i="150" s="1"/>
  <c r="T5" i="150"/>
  <c r="V5" i="150" s="1"/>
  <c r="F5" i="150"/>
  <c r="H5" i="150" s="1"/>
  <c r="E5" i="150"/>
  <c r="L5" i="150" s="1"/>
  <c r="T4" i="150"/>
  <c r="T14" i="150" s="1"/>
  <c r="F4" i="150"/>
  <c r="E4" i="150"/>
  <c r="L4" i="150" s="1"/>
  <c r="V6" i="149"/>
  <c r="V18" i="155" l="1"/>
  <c r="W4" i="155"/>
  <c r="W18" i="155" s="1"/>
  <c r="Y4" i="155"/>
  <c r="I16" i="154"/>
  <c r="H16" i="154"/>
  <c r="W16" i="154"/>
  <c r="Z4" i="154"/>
  <c r="Z16" i="154" s="1"/>
  <c r="Y16" i="154"/>
  <c r="I16" i="153"/>
  <c r="W4" i="153"/>
  <c r="Y4" i="153"/>
  <c r="W16" i="153"/>
  <c r="H16" i="153"/>
  <c r="W16" i="152"/>
  <c r="Y16" i="152"/>
  <c r="Z4" i="152"/>
  <c r="Z16" i="152" s="1"/>
  <c r="Y13" i="151"/>
  <c r="Z13" i="151" s="1"/>
  <c r="W13" i="151"/>
  <c r="F16" i="151"/>
  <c r="Y12" i="151"/>
  <c r="Z12" i="151" s="1"/>
  <c r="H4" i="151"/>
  <c r="H16" i="151" s="1"/>
  <c r="Y15" i="151"/>
  <c r="Z15" i="151" s="1"/>
  <c r="Y5" i="151"/>
  <c r="Z5" i="151" s="1"/>
  <c r="I16" i="151"/>
  <c r="L16" i="151"/>
  <c r="Y4" i="151"/>
  <c r="W4" i="151"/>
  <c r="V16" i="151"/>
  <c r="H5" i="151"/>
  <c r="I5" i="151"/>
  <c r="W12" i="150"/>
  <c r="Y9" i="150"/>
  <c r="Z9" i="150" s="1"/>
  <c r="E14" i="150"/>
  <c r="F14" i="150"/>
  <c r="H4" i="150"/>
  <c r="V4" i="150"/>
  <c r="Y4" i="150" s="1"/>
  <c r="Z4" i="150" s="1"/>
  <c r="I4" i="150"/>
  <c r="I14" i="150" s="1"/>
  <c r="Y8" i="150"/>
  <c r="Z8" i="150" s="1"/>
  <c r="L14" i="150"/>
  <c r="W5" i="150"/>
  <c r="Y5" i="150"/>
  <c r="Z5" i="150" s="1"/>
  <c r="H14" i="150"/>
  <c r="I5" i="150"/>
  <c r="W7" i="150"/>
  <c r="W6" i="150"/>
  <c r="W10" i="150"/>
  <c r="W13" i="150"/>
  <c r="T4" i="149"/>
  <c r="V4" i="149" s="1"/>
  <c r="U14" i="149"/>
  <c r="S14" i="149"/>
  <c r="R14" i="149"/>
  <c r="Q14" i="149"/>
  <c r="P14" i="149"/>
  <c r="O14" i="149"/>
  <c r="N14" i="149"/>
  <c r="M14" i="149"/>
  <c r="K14" i="149"/>
  <c r="J14" i="149"/>
  <c r="G14" i="149"/>
  <c r="D14" i="149"/>
  <c r="C14" i="149"/>
  <c r="V13" i="149"/>
  <c r="Y13" i="149" s="1"/>
  <c r="Z13" i="149" s="1"/>
  <c r="E13" i="149"/>
  <c r="L13" i="149" s="1"/>
  <c r="Y12" i="149"/>
  <c r="Z12" i="149" s="1"/>
  <c r="W12" i="149"/>
  <c r="E12" i="149"/>
  <c r="L12" i="149" s="1"/>
  <c r="Y11" i="149"/>
  <c r="Z11" i="149" s="1"/>
  <c r="E11" i="149"/>
  <c r="L11" i="149" s="1"/>
  <c r="V10" i="149"/>
  <c r="Y10" i="149" s="1"/>
  <c r="Z10" i="149" s="1"/>
  <c r="E10" i="149"/>
  <c r="L10" i="149" s="1"/>
  <c r="V9" i="149"/>
  <c r="Y9" i="149" s="1"/>
  <c r="Z9" i="149" s="1"/>
  <c r="L9" i="149"/>
  <c r="E9" i="149"/>
  <c r="V8" i="149"/>
  <c r="Y8" i="149" s="1"/>
  <c r="Z8" i="149" s="1"/>
  <c r="E8" i="149"/>
  <c r="L8" i="149" s="1"/>
  <c r="V7" i="149"/>
  <c r="Y7" i="149" s="1"/>
  <c r="Z7" i="149" s="1"/>
  <c r="E7" i="149"/>
  <c r="L7" i="149" s="1"/>
  <c r="Y6" i="149"/>
  <c r="Z6" i="149" s="1"/>
  <c r="E6" i="149"/>
  <c r="L6" i="149" s="1"/>
  <c r="T5" i="149"/>
  <c r="F5" i="149"/>
  <c r="E5" i="149"/>
  <c r="L5" i="149" s="1"/>
  <c r="F4" i="149"/>
  <c r="E4" i="149"/>
  <c r="L4" i="149" s="1"/>
  <c r="W14" i="148"/>
  <c r="E14" i="148"/>
  <c r="L14" i="148" s="1"/>
  <c r="V13" i="148"/>
  <c r="W13" i="148" s="1"/>
  <c r="E13" i="148"/>
  <c r="L13" i="148" s="1"/>
  <c r="Y18" i="155" l="1"/>
  <c r="Z4" i="155"/>
  <c r="Z18" i="155" s="1"/>
  <c r="AA18" i="155" s="1"/>
  <c r="AA16" i="154"/>
  <c r="Z4" i="153"/>
  <c r="Z16" i="153" s="1"/>
  <c r="AA16" i="153" s="1"/>
  <c r="Y16" i="153"/>
  <c r="AA16" i="152"/>
  <c r="W16" i="151"/>
  <c r="Y16" i="151"/>
  <c r="Z4" i="151"/>
  <c r="Z16" i="151" s="1"/>
  <c r="V14" i="150"/>
  <c r="W4" i="150"/>
  <c r="W14" i="150" s="1"/>
  <c r="Z14" i="150"/>
  <c r="Y14" i="150"/>
  <c r="W6" i="149"/>
  <c r="F14" i="149"/>
  <c r="T14" i="149"/>
  <c r="W10" i="149"/>
  <c r="L14" i="149"/>
  <c r="Y4" i="149"/>
  <c r="W4" i="149"/>
  <c r="E14" i="149"/>
  <c r="V5" i="149"/>
  <c r="V14" i="149" s="1"/>
  <c r="W13" i="149"/>
  <c r="W9" i="149"/>
  <c r="H4" i="149"/>
  <c r="I4" i="149"/>
  <c r="W8" i="149"/>
  <c r="H5" i="149"/>
  <c r="I5" i="149"/>
  <c r="W7" i="149"/>
  <c r="W11" i="149"/>
  <c r="Y14" i="148"/>
  <c r="Z14" i="148" s="1"/>
  <c r="Y13" i="148"/>
  <c r="Z13" i="148" s="1"/>
  <c r="T4" i="148"/>
  <c r="V4" i="148" s="1"/>
  <c r="W4" i="148" s="1"/>
  <c r="U15" i="148"/>
  <c r="S15" i="148"/>
  <c r="R15" i="148"/>
  <c r="Q15" i="148"/>
  <c r="P15" i="148"/>
  <c r="O15" i="148"/>
  <c r="N15" i="148"/>
  <c r="M15" i="148"/>
  <c r="K15" i="148"/>
  <c r="J15" i="148"/>
  <c r="G15" i="148"/>
  <c r="D15" i="148"/>
  <c r="C15" i="148"/>
  <c r="Y12" i="148"/>
  <c r="Z12" i="148" s="1"/>
  <c r="W12" i="148"/>
  <c r="E12" i="148"/>
  <c r="L12" i="148" s="1"/>
  <c r="V11" i="148"/>
  <c r="Y11" i="148" s="1"/>
  <c r="Z11" i="148" s="1"/>
  <c r="E11" i="148"/>
  <c r="L11" i="148" s="1"/>
  <c r="V10" i="148"/>
  <c r="Y10" i="148" s="1"/>
  <c r="Z10" i="148" s="1"/>
  <c r="E10" i="148"/>
  <c r="L10" i="148" s="1"/>
  <c r="V9" i="148"/>
  <c r="Y9" i="148" s="1"/>
  <c r="Z9" i="148" s="1"/>
  <c r="E9" i="148"/>
  <c r="L9" i="148" s="1"/>
  <c r="V8" i="148"/>
  <c r="W8" i="148" s="1"/>
  <c r="E8" i="148"/>
  <c r="L8" i="148" s="1"/>
  <c r="V7" i="148"/>
  <c r="Y7" i="148" s="1"/>
  <c r="Z7" i="148" s="1"/>
  <c r="E7" i="148"/>
  <c r="L7" i="148" s="1"/>
  <c r="V6" i="148"/>
  <c r="Y6" i="148" s="1"/>
  <c r="Z6" i="148" s="1"/>
  <c r="E6" i="148"/>
  <c r="L6" i="148" s="1"/>
  <c r="T5" i="148"/>
  <c r="F5" i="148"/>
  <c r="E5" i="148"/>
  <c r="L5" i="148" s="1"/>
  <c r="F4" i="148"/>
  <c r="E4" i="148"/>
  <c r="V10" i="147"/>
  <c r="V6" i="147"/>
  <c r="W6" i="147" s="1"/>
  <c r="U15" i="147"/>
  <c r="S15" i="147"/>
  <c r="R15" i="147"/>
  <c r="Q15" i="147"/>
  <c r="P15" i="147"/>
  <c r="O15" i="147"/>
  <c r="N15" i="147"/>
  <c r="M15" i="147"/>
  <c r="K15" i="147"/>
  <c r="J15" i="147"/>
  <c r="G15" i="147"/>
  <c r="D15" i="147"/>
  <c r="C15" i="147"/>
  <c r="V14" i="147"/>
  <c r="W14" i="147" s="1"/>
  <c r="L14" i="147"/>
  <c r="E14" i="147"/>
  <c r="V13" i="147"/>
  <c r="Y13" i="147" s="1"/>
  <c r="Z13" i="147" s="1"/>
  <c r="E13" i="147"/>
  <c r="L13" i="147" s="1"/>
  <c r="Z12" i="147"/>
  <c r="Y12" i="147"/>
  <c r="W12" i="147"/>
  <c r="E12" i="147"/>
  <c r="L12" i="147" s="1"/>
  <c r="V11" i="147"/>
  <c r="Y11" i="147" s="1"/>
  <c r="Z11" i="147" s="1"/>
  <c r="E11" i="147"/>
  <c r="L11" i="147" s="1"/>
  <c r="L10" i="147"/>
  <c r="E10" i="147"/>
  <c r="V9" i="147"/>
  <c r="Y9" i="147" s="1"/>
  <c r="Z9" i="147" s="1"/>
  <c r="E9" i="147"/>
  <c r="L9" i="147" s="1"/>
  <c r="V8" i="147"/>
  <c r="W8" i="147" s="1"/>
  <c r="E8" i="147"/>
  <c r="L8" i="147" s="1"/>
  <c r="V7" i="147"/>
  <c r="W7" i="147" s="1"/>
  <c r="E7" i="147"/>
  <c r="L7" i="147" s="1"/>
  <c r="L6" i="147"/>
  <c r="E6" i="147"/>
  <c r="V5" i="147"/>
  <c r="Y5" i="147" s="1"/>
  <c r="Z5" i="147" s="1"/>
  <c r="T5" i="147"/>
  <c r="F5" i="147"/>
  <c r="E5" i="147"/>
  <c r="L5" i="147" s="1"/>
  <c r="Y4" i="147"/>
  <c r="V4" i="147"/>
  <c r="W4" i="147" s="1"/>
  <c r="F4" i="147"/>
  <c r="F15" i="147" s="1"/>
  <c r="E4" i="147"/>
  <c r="L4" i="147" s="1"/>
  <c r="AA15" i="146"/>
  <c r="V10" i="146"/>
  <c r="V6" i="146"/>
  <c r="AA16" i="151" l="1"/>
  <c r="AA14" i="150"/>
  <c r="Z4" i="149"/>
  <c r="I14" i="149"/>
  <c r="Y5" i="149"/>
  <c r="Z5" i="149" s="1"/>
  <c r="W5" i="149"/>
  <c r="W14" i="149" s="1"/>
  <c r="H14" i="149"/>
  <c r="I5" i="148"/>
  <c r="E15" i="148"/>
  <c r="T15" i="148"/>
  <c r="W6" i="148"/>
  <c r="W10" i="148"/>
  <c r="F15" i="148"/>
  <c r="H5" i="148"/>
  <c r="I4" i="148"/>
  <c r="Y4" i="148"/>
  <c r="Z4" i="148" s="1"/>
  <c r="L4" i="148"/>
  <c r="L15" i="148" s="1"/>
  <c r="Y8" i="148"/>
  <c r="Z8" i="148" s="1"/>
  <c r="W9" i="148"/>
  <c r="V5" i="148"/>
  <c r="H4" i="148"/>
  <c r="W7" i="148"/>
  <c r="W11" i="148"/>
  <c r="W11" i="147"/>
  <c r="Y7" i="147"/>
  <c r="Z7" i="147" s="1"/>
  <c r="Y6" i="147"/>
  <c r="Z6" i="147" s="1"/>
  <c r="Y14" i="147"/>
  <c r="Z14" i="147" s="1"/>
  <c r="L15" i="147"/>
  <c r="Y10" i="147"/>
  <c r="Z10" i="147" s="1"/>
  <c r="W10" i="147"/>
  <c r="W5" i="147"/>
  <c r="W9" i="147"/>
  <c r="T15" i="147"/>
  <c r="I4" i="147"/>
  <c r="I15" i="147" s="1"/>
  <c r="H5" i="147"/>
  <c r="Y8" i="147"/>
  <c r="Z8" i="147" s="1"/>
  <c r="E15" i="147"/>
  <c r="Z4" i="147"/>
  <c r="W13" i="147"/>
  <c r="H4" i="147"/>
  <c r="H15" i="147" s="1"/>
  <c r="I5" i="147"/>
  <c r="V15" i="147"/>
  <c r="T10" i="146"/>
  <c r="Y10" i="146"/>
  <c r="Z10" i="146" s="1"/>
  <c r="U15" i="146"/>
  <c r="T15" i="146"/>
  <c r="S15" i="146"/>
  <c r="R15" i="146"/>
  <c r="Q15" i="146"/>
  <c r="P15" i="146"/>
  <c r="O15" i="146"/>
  <c r="N15" i="146"/>
  <c r="M15" i="146"/>
  <c r="K15" i="146"/>
  <c r="J15" i="146"/>
  <c r="G15" i="146"/>
  <c r="F15" i="146"/>
  <c r="E15" i="146"/>
  <c r="D15" i="146"/>
  <c r="C15" i="146"/>
  <c r="V14" i="146"/>
  <c r="W14" i="146" s="1"/>
  <c r="L14" i="146"/>
  <c r="E14" i="146"/>
  <c r="V13" i="146"/>
  <c r="W13" i="146" s="1"/>
  <c r="L13" i="146"/>
  <c r="E13" i="146"/>
  <c r="Z12" i="146"/>
  <c r="Y12" i="146"/>
  <c r="W12" i="146"/>
  <c r="L12" i="146"/>
  <c r="E12" i="146"/>
  <c r="Y11" i="146"/>
  <c r="Z11" i="146" s="1"/>
  <c r="W11" i="146"/>
  <c r="V11" i="146"/>
  <c r="L11" i="146"/>
  <c r="E11" i="146"/>
  <c r="L10" i="146"/>
  <c r="E10" i="146"/>
  <c r="V9" i="146"/>
  <c r="W9" i="146" s="1"/>
  <c r="L9" i="146"/>
  <c r="E9" i="146"/>
  <c r="V8" i="146"/>
  <c r="Y8" i="146" s="1"/>
  <c r="Z8" i="146" s="1"/>
  <c r="L8" i="146"/>
  <c r="E8" i="146"/>
  <c r="Y7" i="146"/>
  <c r="Z7" i="146" s="1"/>
  <c r="V7" i="146"/>
  <c r="W7" i="146" s="1"/>
  <c r="L7" i="146"/>
  <c r="E7" i="146"/>
  <c r="Y6" i="146"/>
  <c r="Z6" i="146" s="1"/>
  <c r="L6" i="146"/>
  <c r="E6" i="146"/>
  <c r="V5" i="146"/>
  <c r="Y5" i="146" s="1"/>
  <c r="Z5" i="146" s="1"/>
  <c r="T5" i="146"/>
  <c r="L5" i="146"/>
  <c r="L15" i="146" s="1"/>
  <c r="I5" i="146"/>
  <c r="H5" i="146"/>
  <c r="F5" i="146"/>
  <c r="E5" i="146"/>
  <c r="V4" i="146"/>
  <c r="Y4" i="146" s="1"/>
  <c r="Z4" i="146" s="1"/>
  <c r="L4" i="146"/>
  <c r="I4" i="146"/>
  <c r="I15" i="146" s="1"/>
  <c r="H4" i="146"/>
  <c r="H15" i="146" s="1"/>
  <c r="F4" i="146"/>
  <c r="E4" i="146"/>
  <c r="Q15" i="145"/>
  <c r="V13" i="145"/>
  <c r="W13" i="145" s="1"/>
  <c r="E13" i="145"/>
  <c r="L13" i="145" s="1"/>
  <c r="V10" i="145"/>
  <c r="U15" i="145"/>
  <c r="S15" i="145"/>
  <c r="R15" i="145"/>
  <c r="P15" i="145"/>
  <c r="O15" i="145"/>
  <c r="N15" i="145"/>
  <c r="M15" i="145"/>
  <c r="K15" i="145"/>
  <c r="J15" i="145"/>
  <c r="G15" i="145"/>
  <c r="D15" i="145"/>
  <c r="C15" i="145"/>
  <c r="V14" i="145"/>
  <c r="Y14" i="145" s="1"/>
  <c r="Z14" i="145" s="1"/>
  <c r="E14" i="145"/>
  <c r="L14" i="145" s="1"/>
  <c r="Y12" i="145"/>
  <c r="Z12" i="145" s="1"/>
  <c r="W12" i="145"/>
  <c r="E12" i="145"/>
  <c r="L12" i="145" s="1"/>
  <c r="V11" i="145"/>
  <c r="Y11" i="145" s="1"/>
  <c r="Z11" i="145" s="1"/>
  <c r="E11" i="145"/>
  <c r="L11" i="145" s="1"/>
  <c r="T10" i="145"/>
  <c r="L10" i="145"/>
  <c r="E10" i="145"/>
  <c r="V9" i="145"/>
  <c r="Y9" i="145" s="1"/>
  <c r="Z9" i="145" s="1"/>
  <c r="E9" i="145"/>
  <c r="L9" i="145" s="1"/>
  <c r="V8" i="145"/>
  <c r="Y8" i="145" s="1"/>
  <c r="Z8" i="145" s="1"/>
  <c r="E8" i="145"/>
  <c r="L8" i="145" s="1"/>
  <c r="V7" i="145"/>
  <c r="Y7" i="145" s="1"/>
  <c r="Z7" i="145" s="1"/>
  <c r="E7" i="145"/>
  <c r="L7" i="145" s="1"/>
  <c r="V6" i="145"/>
  <c r="Y6" i="145" s="1"/>
  <c r="Z6" i="145" s="1"/>
  <c r="E6" i="145"/>
  <c r="L6" i="145" s="1"/>
  <c r="T5" i="145"/>
  <c r="V5" i="145" s="1"/>
  <c r="L5" i="145"/>
  <c r="F5" i="145"/>
  <c r="I5" i="145" s="1"/>
  <c r="E5" i="145"/>
  <c r="V4" i="145"/>
  <c r="Y4" i="145" s="1"/>
  <c r="L4" i="145"/>
  <c r="F4" i="145"/>
  <c r="F15" i="145" s="1"/>
  <c r="E4" i="145"/>
  <c r="E15" i="145" s="1"/>
  <c r="V10" i="144"/>
  <c r="V6" i="144"/>
  <c r="W6" i="144" s="1"/>
  <c r="T10" i="144"/>
  <c r="T5" i="144"/>
  <c r="U14" i="144"/>
  <c r="S14" i="144"/>
  <c r="R14" i="144"/>
  <c r="Q14" i="144"/>
  <c r="P14" i="144"/>
  <c r="O14" i="144"/>
  <c r="N14" i="144"/>
  <c r="M14" i="144"/>
  <c r="K14" i="144"/>
  <c r="J14" i="144"/>
  <c r="G14" i="144"/>
  <c r="F14" i="144"/>
  <c r="D14" i="144"/>
  <c r="C14" i="144"/>
  <c r="V13" i="144"/>
  <c r="W13" i="144" s="1"/>
  <c r="E13" i="144"/>
  <c r="L13" i="144" s="1"/>
  <c r="Y12" i="144"/>
  <c r="Z12" i="144" s="1"/>
  <c r="W12" i="144"/>
  <c r="L12" i="144"/>
  <c r="E12" i="144"/>
  <c r="V11" i="144"/>
  <c r="W11" i="144" s="1"/>
  <c r="L11" i="144"/>
  <c r="E11" i="144"/>
  <c r="E10" i="144"/>
  <c r="L10" i="144" s="1"/>
  <c r="V9" i="144"/>
  <c r="W9" i="144" s="1"/>
  <c r="E9" i="144"/>
  <c r="L9" i="144" s="1"/>
  <c r="V8" i="144"/>
  <c r="W8" i="144" s="1"/>
  <c r="E8" i="144"/>
  <c r="L8" i="144" s="1"/>
  <c r="V7" i="144"/>
  <c r="W7" i="144" s="1"/>
  <c r="E7" i="144"/>
  <c r="L7" i="144" s="1"/>
  <c r="E6" i="144"/>
  <c r="L6" i="144" s="1"/>
  <c r="L5" i="144"/>
  <c r="F5" i="144"/>
  <c r="E5" i="144"/>
  <c r="I5" i="144" s="1"/>
  <c r="V4" i="144"/>
  <c r="F4" i="144"/>
  <c r="I4" i="144" s="1"/>
  <c r="I14" i="144" s="1"/>
  <c r="E4" i="144"/>
  <c r="H4" i="144" s="1"/>
  <c r="V10" i="143"/>
  <c r="V6" i="143"/>
  <c r="Y14" i="149" l="1"/>
  <c r="Z14" i="149"/>
  <c r="AA14" i="149" s="1"/>
  <c r="I15" i="148"/>
  <c r="H15" i="148"/>
  <c r="Y5" i="148"/>
  <c r="W5" i="148"/>
  <c r="W15" i="148" s="1"/>
  <c r="V15" i="148"/>
  <c r="W15" i="147"/>
  <c r="Y15" i="147"/>
  <c r="Z15" i="147"/>
  <c r="Y13" i="146"/>
  <c r="Z13" i="146" s="1"/>
  <c r="W8" i="146"/>
  <c r="W5" i="146"/>
  <c r="Y14" i="146"/>
  <c r="Z14" i="146" s="1"/>
  <c r="W4" i="146"/>
  <c r="Y9" i="146"/>
  <c r="Z9" i="146" s="1"/>
  <c r="Z15" i="146" s="1"/>
  <c r="W6" i="146"/>
  <c r="V15" i="146"/>
  <c r="W10" i="146"/>
  <c r="Y13" i="145"/>
  <c r="Z13" i="145" s="1"/>
  <c r="T15" i="145"/>
  <c r="H5" i="145"/>
  <c r="W7" i="145"/>
  <c r="Y10" i="145"/>
  <c r="Z10" i="145" s="1"/>
  <c r="W10" i="145"/>
  <c r="Y5" i="145"/>
  <c r="Z5" i="145" s="1"/>
  <c r="W5" i="145"/>
  <c r="L15" i="145"/>
  <c r="Z4" i="145"/>
  <c r="W11" i="145"/>
  <c r="W4" i="145"/>
  <c r="W6" i="145"/>
  <c r="V15" i="145"/>
  <c r="W9" i="145"/>
  <c r="W14" i="145"/>
  <c r="H4" i="145"/>
  <c r="W8" i="145"/>
  <c r="I4" i="145"/>
  <c r="I15" i="145" s="1"/>
  <c r="T14" i="144"/>
  <c r="Y11" i="144"/>
  <c r="Z11" i="144" s="1"/>
  <c r="Y7" i="144"/>
  <c r="Z7" i="144" s="1"/>
  <c r="H14" i="144"/>
  <c r="Y10" i="144"/>
  <c r="Z10" i="144" s="1"/>
  <c r="W10" i="144"/>
  <c r="Y8" i="144"/>
  <c r="Z8" i="144" s="1"/>
  <c r="V5" i="144"/>
  <c r="Y6" i="144"/>
  <c r="Z6" i="144" s="1"/>
  <c r="Y9" i="144"/>
  <c r="Z9" i="144" s="1"/>
  <c r="Y13" i="144"/>
  <c r="Z13" i="144" s="1"/>
  <c r="H5" i="144"/>
  <c r="L4" i="144"/>
  <c r="L14" i="144" s="1"/>
  <c r="E14" i="144"/>
  <c r="Y4" i="144"/>
  <c r="W4" i="144"/>
  <c r="T5" i="143"/>
  <c r="T14" i="143" s="1"/>
  <c r="T10" i="143"/>
  <c r="U14" i="143"/>
  <c r="S14" i="143"/>
  <c r="R14" i="143"/>
  <c r="Q14" i="143"/>
  <c r="P14" i="143"/>
  <c r="O14" i="143"/>
  <c r="N14" i="143"/>
  <c r="M14" i="143"/>
  <c r="K14" i="143"/>
  <c r="J14" i="143"/>
  <c r="G14" i="143"/>
  <c r="D14" i="143"/>
  <c r="C14" i="143"/>
  <c r="V13" i="143"/>
  <c r="W13" i="143" s="1"/>
  <c r="L13" i="143"/>
  <c r="E13" i="143"/>
  <c r="W12" i="143"/>
  <c r="E12" i="143"/>
  <c r="L12" i="143" s="1"/>
  <c r="V11" i="143"/>
  <c r="Y11" i="143" s="1"/>
  <c r="Z11" i="143" s="1"/>
  <c r="E11" i="143"/>
  <c r="L11" i="143" s="1"/>
  <c r="W10" i="143"/>
  <c r="E10" i="143"/>
  <c r="L10" i="143" s="1"/>
  <c r="V9" i="143"/>
  <c r="W9" i="143" s="1"/>
  <c r="L9" i="143"/>
  <c r="E9" i="143"/>
  <c r="V8" i="143"/>
  <c r="W8" i="143" s="1"/>
  <c r="E8" i="143"/>
  <c r="L8" i="143" s="1"/>
  <c r="V7" i="143"/>
  <c r="Y7" i="143" s="1"/>
  <c r="Z7" i="143" s="1"/>
  <c r="E7" i="143"/>
  <c r="L7" i="143" s="1"/>
  <c r="W6" i="143"/>
  <c r="E6" i="143"/>
  <c r="L6" i="143" s="1"/>
  <c r="L5" i="143"/>
  <c r="F5" i="143"/>
  <c r="F14" i="143" s="1"/>
  <c r="E5" i="143"/>
  <c r="V4" i="143"/>
  <c r="Y4" i="143" s="1"/>
  <c r="I4" i="143"/>
  <c r="H4" i="143"/>
  <c r="F4" i="143"/>
  <c r="E4" i="143"/>
  <c r="E14" i="143" s="1"/>
  <c r="V13" i="142"/>
  <c r="Y13" i="142" s="1"/>
  <c r="Z13" i="142" s="1"/>
  <c r="E13" i="142"/>
  <c r="L13" i="142" s="1"/>
  <c r="V12" i="142"/>
  <c r="Y12" i="142" s="1"/>
  <c r="Z12" i="142" s="1"/>
  <c r="U14" i="142"/>
  <c r="T14" i="142"/>
  <c r="S14" i="142"/>
  <c r="R14" i="142"/>
  <c r="Q14" i="142"/>
  <c r="P14" i="142"/>
  <c r="O14" i="142"/>
  <c r="N14" i="142"/>
  <c r="M14" i="142"/>
  <c r="K14" i="142"/>
  <c r="J14" i="142"/>
  <c r="G14" i="142"/>
  <c r="D14" i="142"/>
  <c r="C14" i="142"/>
  <c r="E12" i="142"/>
  <c r="L12" i="142" s="1"/>
  <c r="V11" i="142"/>
  <c r="W11" i="142" s="1"/>
  <c r="E11" i="142"/>
  <c r="L11" i="142" s="1"/>
  <c r="V10" i="142"/>
  <c r="Y10" i="142" s="1"/>
  <c r="Z10" i="142" s="1"/>
  <c r="E10" i="142"/>
  <c r="L10" i="142" s="1"/>
  <c r="V9" i="142"/>
  <c r="Y9" i="142" s="1"/>
  <c r="Z9" i="142" s="1"/>
  <c r="E9" i="142"/>
  <c r="L9" i="142" s="1"/>
  <c r="V8" i="142"/>
  <c r="Y8" i="142" s="1"/>
  <c r="Z8" i="142" s="1"/>
  <c r="E8" i="142"/>
  <c r="L8" i="142" s="1"/>
  <c r="V7" i="142"/>
  <c r="W7" i="142" s="1"/>
  <c r="E7" i="142"/>
  <c r="L7" i="142" s="1"/>
  <c r="V6" i="142"/>
  <c r="Y6" i="142" s="1"/>
  <c r="Z6" i="142" s="1"/>
  <c r="E6" i="142"/>
  <c r="L6" i="142" s="1"/>
  <c r="V5" i="142"/>
  <c r="W5" i="142" s="1"/>
  <c r="L5" i="142"/>
  <c r="F5" i="142"/>
  <c r="I5" i="142" s="1"/>
  <c r="E5" i="142"/>
  <c r="V4" i="142"/>
  <c r="F4" i="142"/>
  <c r="E4" i="142"/>
  <c r="V7" i="141"/>
  <c r="Y7" i="141" s="1"/>
  <c r="Z7" i="141" s="1"/>
  <c r="V10" i="141"/>
  <c r="Y10" i="141" s="1"/>
  <c r="Z10" i="141" s="1"/>
  <c r="U14" i="141"/>
  <c r="T14" i="141"/>
  <c r="S14" i="141"/>
  <c r="R14" i="141"/>
  <c r="Q14" i="141"/>
  <c r="P14" i="141"/>
  <c r="O14" i="141"/>
  <c r="N14" i="141"/>
  <c r="M14" i="141"/>
  <c r="K14" i="141"/>
  <c r="J14" i="141"/>
  <c r="G14" i="141"/>
  <c r="D14" i="141"/>
  <c r="C14" i="141"/>
  <c r="V13" i="141"/>
  <c r="Y13" i="141" s="1"/>
  <c r="Z13" i="141" s="1"/>
  <c r="E13" i="141"/>
  <c r="L13" i="141" s="1"/>
  <c r="Y12" i="141"/>
  <c r="Z12" i="141" s="1"/>
  <c r="W12" i="141"/>
  <c r="E12" i="141"/>
  <c r="L12" i="141" s="1"/>
  <c r="V11" i="141"/>
  <c r="Y11" i="141" s="1"/>
  <c r="Z11" i="141" s="1"/>
  <c r="L11" i="141"/>
  <c r="E11" i="141"/>
  <c r="E10" i="141"/>
  <c r="L10" i="141" s="1"/>
  <c r="V9" i="141"/>
  <c r="Y9" i="141" s="1"/>
  <c r="Z9" i="141" s="1"/>
  <c r="E9" i="141"/>
  <c r="L9" i="141" s="1"/>
  <c r="V8" i="141"/>
  <c r="W8" i="141" s="1"/>
  <c r="E8" i="141"/>
  <c r="L8" i="141" s="1"/>
  <c r="L7" i="141"/>
  <c r="E7" i="141"/>
  <c r="V6" i="141"/>
  <c r="Y6" i="141" s="1"/>
  <c r="Z6" i="141" s="1"/>
  <c r="E6" i="141"/>
  <c r="L6" i="141" s="1"/>
  <c r="V5" i="141"/>
  <c r="Y5" i="141" s="1"/>
  <c r="Z5" i="141" s="1"/>
  <c r="F5" i="141"/>
  <c r="E5" i="141"/>
  <c r="I5" i="141" s="1"/>
  <c r="V4" i="141"/>
  <c r="Y4" i="141" s="1"/>
  <c r="L4" i="141"/>
  <c r="F4" i="141"/>
  <c r="I4" i="141" s="1"/>
  <c r="E4" i="141"/>
  <c r="V10" i="140"/>
  <c r="Z5" i="148" l="1"/>
  <c r="Z15" i="148" s="1"/>
  <c r="AA15" i="148" s="1"/>
  <c r="Y15" i="148"/>
  <c r="AA15" i="147"/>
  <c r="Y15" i="146"/>
  <c r="W15" i="146"/>
  <c r="H15" i="145"/>
  <c r="Z15" i="145"/>
  <c r="W15" i="145"/>
  <c r="Y15" i="145"/>
  <c r="W5" i="144"/>
  <c r="W14" i="144" s="1"/>
  <c r="Y5" i="144"/>
  <c r="Z5" i="144" s="1"/>
  <c r="Z4" i="144"/>
  <c r="V14" i="144"/>
  <c r="V5" i="143"/>
  <c r="W5" i="143" s="1"/>
  <c r="Y9" i="143"/>
  <c r="Z9" i="143" s="1"/>
  <c r="Y13" i="143"/>
  <c r="Z13" i="143" s="1"/>
  <c r="Y12" i="143"/>
  <c r="Z12" i="143" s="1"/>
  <c r="Y10" i="143"/>
  <c r="Z10" i="143" s="1"/>
  <c r="Y8" i="143"/>
  <c r="Z8" i="143" s="1"/>
  <c r="Y6" i="143"/>
  <c r="Z6" i="143" s="1"/>
  <c r="Z4" i="143"/>
  <c r="H14" i="143"/>
  <c r="H5" i="143"/>
  <c r="W7" i="143"/>
  <c r="W11" i="143"/>
  <c r="L4" i="143"/>
  <c r="L14" i="143" s="1"/>
  <c r="I5" i="143"/>
  <c r="I14" i="143" s="1"/>
  <c r="W4" i="143"/>
  <c r="V14" i="143"/>
  <c r="E14" i="142"/>
  <c r="F14" i="142"/>
  <c r="W12" i="142"/>
  <c r="W13" i="142"/>
  <c r="L4" i="142"/>
  <c r="L14" i="142" s="1"/>
  <c r="H5" i="142"/>
  <c r="Y11" i="142"/>
  <c r="Z11" i="142" s="1"/>
  <c r="Y7" i="142"/>
  <c r="Z7" i="142" s="1"/>
  <c r="V14" i="142"/>
  <c r="W6" i="142"/>
  <c r="W10" i="142"/>
  <c r="Y5" i="142"/>
  <c r="Z5" i="142" s="1"/>
  <c r="W8" i="142"/>
  <c r="Y4" i="142"/>
  <c r="W9" i="142"/>
  <c r="H4" i="142"/>
  <c r="W4" i="142"/>
  <c r="I4" i="142"/>
  <c r="I14" i="142" s="1"/>
  <c r="W4" i="141"/>
  <c r="Y8" i="141"/>
  <c r="Z8" i="141" s="1"/>
  <c r="Z4" i="141"/>
  <c r="I14" i="141"/>
  <c r="H5" i="141"/>
  <c r="E14" i="141"/>
  <c r="F14" i="141"/>
  <c r="V14" i="141"/>
  <c r="L5" i="141"/>
  <c r="L14" i="141" s="1"/>
  <c r="W6" i="141"/>
  <c r="W10" i="141"/>
  <c r="W11" i="141"/>
  <c r="W13" i="141"/>
  <c r="H4" i="141"/>
  <c r="H14" i="141" s="1"/>
  <c r="W7" i="141"/>
  <c r="W5" i="141"/>
  <c r="W9" i="141"/>
  <c r="U14" i="140"/>
  <c r="T14" i="140"/>
  <c r="S14" i="140"/>
  <c r="R14" i="140"/>
  <c r="Q14" i="140"/>
  <c r="P14" i="140"/>
  <c r="O14" i="140"/>
  <c r="N14" i="140"/>
  <c r="M14" i="140"/>
  <c r="K14" i="140"/>
  <c r="J14" i="140"/>
  <c r="G14" i="140"/>
  <c r="D14" i="140"/>
  <c r="C14" i="140"/>
  <c r="V13" i="140"/>
  <c r="Y13" i="140" s="1"/>
  <c r="Z13" i="140" s="1"/>
  <c r="L13" i="140"/>
  <c r="E13" i="140"/>
  <c r="Y12" i="140"/>
  <c r="Z12" i="140" s="1"/>
  <c r="W12" i="140"/>
  <c r="E12" i="140"/>
  <c r="L12" i="140" s="1"/>
  <c r="V11" i="140"/>
  <c r="W11" i="140" s="1"/>
  <c r="L11" i="140"/>
  <c r="E11" i="140"/>
  <c r="Y10" i="140"/>
  <c r="Z10" i="140" s="1"/>
  <c r="E10" i="140"/>
  <c r="L10" i="140" s="1"/>
  <c r="V9" i="140"/>
  <c r="W9" i="140" s="1"/>
  <c r="E9" i="140"/>
  <c r="L9" i="140" s="1"/>
  <c r="V8" i="140"/>
  <c r="Y8" i="140" s="1"/>
  <c r="Z8" i="140" s="1"/>
  <c r="E8" i="140"/>
  <c r="L8" i="140" s="1"/>
  <c r="V7" i="140"/>
  <c r="W7" i="140" s="1"/>
  <c r="L7" i="140"/>
  <c r="E7" i="140"/>
  <c r="V6" i="140"/>
  <c r="Y6" i="140" s="1"/>
  <c r="Z6" i="140" s="1"/>
  <c r="E6" i="140"/>
  <c r="L6" i="140" s="1"/>
  <c r="V5" i="140"/>
  <c r="W5" i="140" s="1"/>
  <c r="F5" i="140"/>
  <c r="E5" i="140"/>
  <c r="L5" i="140" s="1"/>
  <c r="V4" i="140"/>
  <c r="Y4" i="140" s="1"/>
  <c r="L4" i="140"/>
  <c r="F4" i="140"/>
  <c r="F14" i="140" s="1"/>
  <c r="E4" i="140"/>
  <c r="E14" i="140" s="1"/>
  <c r="V10" i="139"/>
  <c r="V7" i="139"/>
  <c r="U14" i="139"/>
  <c r="T14" i="139"/>
  <c r="S14" i="139"/>
  <c r="R14" i="139"/>
  <c r="Q14" i="139"/>
  <c r="P14" i="139"/>
  <c r="O14" i="139"/>
  <c r="N14" i="139"/>
  <c r="M14" i="139"/>
  <c r="K14" i="139"/>
  <c r="J14" i="139"/>
  <c r="G14" i="139"/>
  <c r="D14" i="139"/>
  <c r="C14" i="139"/>
  <c r="V13" i="139"/>
  <c r="Y13" i="139" s="1"/>
  <c r="Z13" i="139" s="1"/>
  <c r="E13" i="139"/>
  <c r="L13" i="139" s="1"/>
  <c r="Y12" i="139"/>
  <c r="Z12" i="139" s="1"/>
  <c r="W12" i="139"/>
  <c r="E12" i="139"/>
  <c r="L12" i="139" s="1"/>
  <c r="V11" i="139"/>
  <c r="Y11" i="139" s="1"/>
  <c r="Z11" i="139" s="1"/>
  <c r="L11" i="139"/>
  <c r="E11" i="139"/>
  <c r="Y10" i="139"/>
  <c r="Z10" i="139" s="1"/>
  <c r="E10" i="139"/>
  <c r="L10" i="139" s="1"/>
  <c r="V9" i="139"/>
  <c r="Y9" i="139" s="1"/>
  <c r="Z9" i="139" s="1"/>
  <c r="L9" i="139"/>
  <c r="E9" i="139"/>
  <c r="V8" i="139"/>
  <c r="Y8" i="139" s="1"/>
  <c r="Z8" i="139" s="1"/>
  <c r="E8" i="139"/>
  <c r="L8" i="139" s="1"/>
  <c r="Y7" i="139"/>
  <c r="Z7" i="139" s="1"/>
  <c r="L7" i="139"/>
  <c r="E7" i="139"/>
  <c r="V6" i="139"/>
  <c r="Y6" i="139" s="1"/>
  <c r="Z6" i="139" s="1"/>
  <c r="E6" i="139"/>
  <c r="L6" i="139" s="1"/>
  <c r="V5" i="139"/>
  <c r="Y5" i="139" s="1"/>
  <c r="Z5" i="139" s="1"/>
  <c r="F5" i="139"/>
  <c r="E5" i="139"/>
  <c r="L5" i="139" s="1"/>
  <c r="V4" i="139"/>
  <c r="Y4" i="139" s="1"/>
  <c r="L4" i="139"/>
  <c r="F4" i="139"/>
  <c r="F14" i="139" s="1"/>
  <c r="E4" i="139"/>
  <c r="E14" i="139" s="1"/>
  <c r="V10" i="138"/>
  <c r="Y10" i="138" s="1"/>
  <c r="Z10" i="138" s="1"/>
  <c r="U14" i="138"/>
  <c r="T14" i="138"/>
  <c r="S14" i="138"/>
  <c r="R14" i="138"/>
  <c r="Q14" i="138"/>
  <c r="P14" i="138"/>
  <c r="O14" i="138"/>
  <c r="N14" i="138"/>
  <c r="M14" i="138"/>
  <c r="K14" i="138"/>
  <c r="J14" i="138"/>
  <c r="G14" i="138"/>
  <c r="D14" i="138"/>
  <c r="C14" i="138"/>
  <c r="W13" i="138"/>
  <c r="V13" i="138"/>
  <c r="Y13" i="138" s="1"/>
  <c r="Z13" i="138" s="1"/>
  <c r="E13" i="138"/>
  <c r="L13" i="138" s="1"/>
  <c r="Y12" i="138"/>
  <c r="Z12" i="138" s="1"/>
  <c r="W12" i="138"/>
  <c r="E12" i="138"/>
  <c r="L12" i="138" s="1"/>
  <c r="V11" i="138"/>
  <c r="Y11" i="138" s="1"/>
  <c r="Z11" i="138" s="1"/>
  <c r="E11" i="138"/>
  <c r="L11" i="138" s="1"/>
  <c r="E10" i="138"/>
  <c r="L10" i="138" s="1"/>
  <c r="V9" i="138"/>
  <c r="Y9" i="138" s="1"/>
  <c r="Z9" i="138" s="1"/>
  <c r="E9" i="138"/>
  <c r="L9" i="138" s="1"/>
  <c r="V8" i="138"/>
  <c r="Y8" i="138" s="1"/>
  <c r="Z8" i="138" s="1"/>
  <c r="E8" i="138"/>
  <c r="L8" i="138" s="1"/>
  <c r="V7" i="138"/>
  <c r="W7" i="138" s="1"/>
  <c r="E7" i="138"/>
  <c r="L7" i="138" s="1"/>
  <c r="V6" i="138"/>
  <c r="Y6" i="138" s="1"/>
  <c r="Z6" i="138" s="1"/>
  <c r="E6" i="138"/>
  <c r="L6" i="138" s="1"/>
  <c r="V5" i="138"/>
  <c r="Y5" i="138" s="1"/>
  <c r="Z5" i="138" s="1"/>
  <c r="I5" i="138"/>
  <c r="H5" i="138"/>
  <c r="F5" i="138"/>
  <c r="E5" i="138"/>
  <c r="L5" i="138" s="1"/>
  <c r="V4" i="138"/>
  <c r="L4" i="138"/>
  <c r="F4" i="138"/>
  <c r="E4" i="138"/>
  <c r="H4" i="138" s="1"/>
  <c r="V11" i="137"/>
  <c r="V7" i="137"/>
  <c r="Y7" i="137" s="1"/>
  <c r="Z7" i="137" s="1"/>
  <c r="U15" i="137"/>
  <c r="T15" i="137"/>
  <c r="S15" i="137"/>
  <c r="R15" i="137"/>
  <c r="Q15" i="137"/>
  <c r="P15" i="137"/>
  <c r="O15" i="137"/>
  <c r="N15" i="137"/>
  <c r="M15" i="137"/>
  <c r="K15" i="137"/>
  <c r="J15" i="137"/>
  <c r="G15" i="137"/>
  <c r="D15" i="137"/>
  <c r="C15" i="137"/>
  <c r="V14" i="137"/>
  <c r="Y14" i="137" s="1"/>
  <c r="Z14" i="137" s="1"/>
  <c r="E14" i="137"/>
  <c r="L14" i="137" s="1"/>
  <c r="Y13" i="137"/>
  <c r="Z13" i="137" s="1"/>
  <c r="W13" i="137"/>
  <c r="E13" i="137"/>
  <c r="L13" i="137" s="1"/>
  <c r="V12" i="137"/>
  <c r="Y12" i="137" s="1"/>
  <c r="Z12" i="137" s="1"/>
  <c r="L12" i="137"/>
  <c r="E12" i="137"/>
  <c r="Y11" i="137"/>
  <c r="Z11" i="137" s="1"/>
  <c r="L11" i="137"/>
  <c r="E11" i="137"/>
  <c r="Y10" i="137"/>
  <c r="Z10" i="137" s="1"/>
  <c r="L10" i="137"/>
  <c r="E10" i="137"/>
  <c r="V9" i="137"/>
  <c r="Y9" i="137" s="1"/>
  <c r="Z9" i="137" s="1"/>
  <c r="E9" i="137"/>
  <c r="L9" i="137" s="1"/>
  <c r="V8" i="137"/>
  <c r="Y8" i="137" s="1"/>
  <c r="Z8" i="137" s="1"/>
  <c r="L8" i="137"/>
  <c r="E8" i="137"/>
  <c r="L7" i="137"/>
  <c r="E7" i="137"/>
  <c r="V6" i="137"/>
  <c r="Y6" i="137" s="1"/>
  <c r="Z6" i="137" s="1"/>
  <c r="L6" i="137"/>
  <c r="E6" i="137"/>
  <c r="W5" i="137"/>
  <c r="V5" i="137"/>
  <c r="Y5" i="137" s="1"/>
  <c r="Z5" i="137" s="1"/>
  <c r="F5" i="137"/>
  <c r="E5" i="137"/>
  <c r="L5" i="137" s="1"/>
  <c r="V4" i="137"/>
  <c r="W4" i="137" s="1"/>
  <c r="L4" i="137"/>
  <c r="F4" i="137"/>
  <c r="F15" i="137" s="1"/>
  <c r="E4" i="137"/>
  <c r="I4" i="137" s="1"/>
  <c r="U15" i="136"/>
  <c r="T15" i="136"/>
  <c r="S15" i="136"/>
  <c r="R15" i="136"/>
  <c r="Q15" i="136"/>
  <c r="P15" i="136"/>
  <c r="O15" i="136"/>
  <c r="N15" i="136"/>
  <c r="M15" i="136"/>
  <c r="K15" i="136"/>
  <c r="J15" i="136"/>
  <c r="G15" i="136"/>
  <c r="D15" i="136"/>
  <c r="C15" i="136"/>
  <c r="V14" i="136"/>
  <c r="W14" i="136" s="1"/>
  <c r="E14" i="136"/>
  <c r="L14" i="136" s="1"/>
  <c r="Z13" i="136"/>
  <c r="Y13" i="136"/>
  <c r="W13" i="136"/>
  <c r="L13" i="136"/>
  <c r="E13" i="136"/>
  <c r="V12" i="136"/>
  <c r="Y12" i="136" s="1"/>
  <c r="Z12" i="136" s="1"/>
  <c r="E12" i="136"/>
  <c r="L12" i="136" s="1"/>
  <c r="V11" i="136"/>
  <c r="Y11" i="136" s="1"/>
  <c r="Z11" i="136" s="1"/>
  <c r="E11" i="136"/>
  <c r="L11" i="136" s="1"/>
  <c r="V10" i="136"/>
  <c r="Y10" i="136" s="1"/>
  <c r="Z10" i="136" s="1"/>
  <c r="E10" i="136"/>
  <c r="L10" i="136" s="1"/>
  <c r="V9" i="136"/>
  <c r="W9" i="136" s="1"/>
  <c r="L9" i="136"/>
  <c r="E9" i="136"/>
  <c r="V8" i="136"/>
  <c r="Y8" i="136" s="1"/>
  <c r="Z8" i="136" s="1"/>
  <c r="E8" i="136"/>
  <c r="L8" i="136" s="1"/>
  <c r="V7" i="136"/>
  <c r="Y7" i="136" s="1"/>
  <c r="Z7" i="136" s="1"/>
  <c r="E7" i="136"/>
  <c r="L7" i="136" s="1"/>
  <c r="V6" i="136"/>
  <c r="Y6" i="136" s="1"/>
  <c r="Z6" i="136" s="1"/>
  <c r="E6" i="136"/>
  <c r="L6" i="136" s="1"/>
  <c r="V5" i="136"/>
  <c r="W5" i="136" s="1"/>
  <c r="F5" i="136"/>
  <c r="E5" i="136"/>
  <c r="I5" i="136" s="1"/>
  <c r="V4" i="136"/>
  <c r="Y4" i="136" s="1"/>
  <c r="F4" i="136"/>
  <c r="F15" i="136" s="1"/>
  <c r="E4" i="136"/>
  <c r="L4" i="136" s="1"/>
  <c r="U15" i="135"/>
  <c r="T15" i="135"/>
  <c r="S15" i="135"/>
  <c r="R15" i="135"/>
  <c r="Q15" i="135"/>
  <c r="P15" i="135"/>
  <c r="O15" i="135"/>
  <c r="N15" i="135"/>
  <c r="M15" i="135"/>
  <c r="K15" i="135"/>
  <c r="J15" i="135"/>
  <c r="G15" i="135"/>
  <c r="D15" i="135"/>
  <c r="C15" i="135"/>
  <c r="V14" i="135"/>
  <c r="Y14" i="135" s="1"/>
  <c r="Z14" i="135" s="1"/>
  <c r="E14" i="135"/>
  <c r="L14" i="135" s="1"/>
  <c r="Z13" i="135"/>
  <c r="Y13" i="135"/>
  <c r="W13" i="135"/>
  <c r="E13" i="135"/>
  <c r="L13" i="135" s="1"/>
  <c r="V12" i="135"/>
  <c r="W12" i="135" s="1"/>
  <c r="E12" i="135"/>
  <c r="L12" i="135" s="1"/>
  <c r="V11" i="135"/>
  <c r="W11" i="135" s="1"/>
  <c r="E11" i="135"/>
  <c r="L11" i="135" s="1"/>
  <c r="V10" i="135"/>
  <c r="W10" i="135" s="1"/>
  <c r="L10" i="135"/>
  <c r="E10" i="135"/>
  <c r="Y9" i="135"/>
  <c r="Z9" i="135" s="1"/>
  <c r="V9" i="135"/>
  <c r="W9" i="135" s="1"/>
  <c r="E9" i="135"/>
  <c r="L9" i="135" s="1"/>
  <c r="V8" i="135"/>
  <c r="W8" i="135" s="1"/>
  <c r="E8" i="135"/>
  <c r="L8" i="135" s="1"/>
  <c r="Y7" i="135"/>
  <c r="Z7" i="135" s="1"/>
  <c r="V7" i="135"/>
  <c r="W7" i="135" s="1"/>
  <c r="E7" i="135"/>
  <c r="L7" i="135" s="1"/>
  <c r="V6" i="135"/>
  <c r="W6" i="135" s="1"/>
  <c r="L6" i="135"/>
  <c r="E6" i="135"/>
  <c r="V5" i="135"/>
  <c r="W5" i="135" s="1"/>
  <c r="F5" i="135"/>
  <c r="E5" i="135"/>
  <c r="L5" i="135" s="1"/>
  <c r="V4" i="135"/>
  <c r="F4" i="135"/>
  <c r="F15" i="135" s="1"/>
  <c r="E4" i="135"/>
  <c r="E15" i="135" s="1"/>
  <c r="U15" i="134"/>
  <c r="T15" i="134"/>
  <c r="S15" i="134"/>
  <c r="R15" i="134"/>
  <c r="Q15" i="134"/>
  <c r="P15" i="134"/>
  <c r="O15" i="134"/>
  <c r="N15" i="134"/>
  <c r="M15" i="134"/>
  <c r="K15" i="134"/>
  <c r="J15" i="134"/>
  <c r="G15" i="134"/>
  <c r="D15" i="134"/>
  <c r="C15" i="134"/>
  <c r="V14" i="134"/>
  <c r="Y14" i="134" s="1"/>
  <c r="Z14" i="134" s="1"/>
  <c r="E14" i="134"/>
  <c r="L14" i="134" s="1"/>
  <c r="Y13" i="134"/>
  <c r="Z13" i="134" s="1"/>
  <c r="W13" i="134"/>
  <c r="E13" i="134"/>
  <c r="L13" i="134" s="1"/>
  <c r="V12" i="134"/>
  <c r="Y12" i="134" s="1"/>
  <c r="Z12" i="134" s="1"/>
  <c r="E12" i="134"/>
  <c r="L12" i="134" s="1"/>
  <c r="V11" i="134"/>
  <c r="Y11" i="134" s="1"/>
  <c r="Z11" i="134" s="1"/>
  <c r="E11" i="134"/>
  <c r="L11" i="134" s="1"/>
  <c r="V10" i="134"/>
  <c r="W10" i="134" s="1"/>
  <c r="L10" i="134"/>
  <c r="E10" i="134"/>
  <c r="V9" i="134"/>
  <c r="W9" i="134" s="1"/>
  <c r="E9" i="134"/>
  <c r="L9" i="134" s="1"/>
  <c r="V8" i="134"/>
  <c r="Y8" i="134" s="1"/>
  <c r="Z8" i="134" s="1"/>
  <c r="E8" i="134"/>
  <c r="L8" i="134" s="1"/>
  <c r="V7" i="134"/>
  <c r="Y7" i="134" s="1"/>
  <c r="Z7" i="134" s="1"/>
  <c r="E7" i="134"/>
  <c r="L7" i="134" s="1"/>
  <c r="V6" i="134"/>
  <c r="W6" i="134" s="1"/>
  <c r="L6" i="134"/>
  <c r="E6" i="134"/>
  <c r="V5" i="134"/>
  <c r="Y5" i="134" s="1"/>
  <c r="Z5" i="134" s="1"/>
  <c r="I5" i="134"/>
  <c r="H5" i="134"/>
  <c r="F5" i="134"/>
  <c r="E5" i="134"/>
  <c r="L5" i="134" s="1"/>
  <c r="V4" i="134"/>
  <c r="L4" i="134"/>
  <c r="F4" i="134"/>
  <c r="F15" i="134" s="1"/>
  <c r="E4" i="134"/>
  <c r="I4" i="134" s="1"/>
  <c r="I15" i="134" s="1"/>
  <c r="U15" i="133"/>
  <c r="T15" i="133"/>
  <c r="S15" i="133"/>
  <c r="R15" i="133"/>
  <c r="Q15" i="133"/>
  <c r="P15" i="133"/>
  <c r="O15" i="133"/>
  <c r="N15" i="133"/>
  <c r="M15" i="133"/>
  <c r="K15" i="133"/>
  <c r="J15" i="133"/>
  <c r="G15" i="133"/>
  <c r="D15" i="133"/>
  <c r="C15" i="133"/>
  <c r="V14" i="133"/>
  <c r="Y14" i="133" s="1"/>
  <c r="Z14" i="133" s="1"/>
  <c r="E14" i="133"/>
  <c r="L14" i="133" s="1"/>
  <c r="Y13" i="133"/>
  <c r="Z13" i="133" s="1"/>
  <c r="W13" i="133"/>
  <c r="E13" i="133"/>
  <c r="L13" i="133" s="1"/>
  <c r="W12" i="133"/>
  <c r="V12" i="133"/>
  <c r="Y12" i="133" s="1"/>
  <c r="Z12" i="133" s="1"/>
  <c r="L12" i="133"/>
  <c r="E12" i="133"/>
  <c r="Y11" i="133"/>
  <c r="Z11" i="133" s="1"/>
  <c r="V11" i="133"/>
  <c r="W11" i="133" s="1"/>
  <c r="L11" i="133"/>
  <c r="E11" i="133"/>
  <c r="V10" i="133"/>
  <c r="Y10" i="133" s="1"/>
  <c r="Z10" i="133" s="1"/>
  <c r="L10" i="133"/>
  <c r="E10" i="133"/>
  <c r="Z9" i="133"/>
  <c r="Y9" i="133"/>
  <c r="W9" i="133"/>
  <c r="V9" i="133"/>
  <c r="E9" i="133"/>
  <c r="L9" i="133" s="1"/>
  <c r="V8" i="133"/>
  <c r="Y8" i="133" s="1"/>
  <c r="Z8" i="133" s="1"/>
  <c r="L8" i="133"/>
  <c r="E8" i="133"/>
  <c r="Y7" i="133"/>
  <c r="Z7" i="133" s="1"/>
  <c r="V7" i="133"/>
  <c r="W7" i="133" s="1"/>
  <c r="L7" i="133"/>
  <c r="E7" i="133"/>
  <c r="V6" i="133"/>
  <c r="Y6" i="133" s="1"/>
  <c r="Z6" i="133" s="1"/>
  <c r="E6" i="133"/>
  <c r="L6" i="133" s="1"/>
  <c r="Y5" i="133"/>
  <c r="Z5" i="133" s="1"/>
  <c r="W5" i="133"/>
  <c r="V5" i="133"/>
  <c r="F5" i="133"/>
  <c r="E5" i="133"/>
  <c r="L5" i="133" s="1"/>
  <c r="V4" i="133"/>
  <c r="L4" i="133"/>
  <c r="L15" i="133" s="1"/>
  <c r="F4" i="133"/>
  <c r="F15" i="133" s="1"/>
  <c r="E4" i="133"/>
  <c r="I4" i="133" s="1"/>
  <c r="U15" i="132"/>
  <c r="T15" i="132"/>
  <c r="S15" i="132"/>
  <c r="R15" i="132"/>
  <c r="Q15" i="132"/>
  <c r="P15" i="132"/>
  <c r="O15" i="132"/>
  <c r="N15" i="132"/>
  <c r="M15" i="132"/>
  <c r="K15" i="132"/>
  <c r="J15" i="132"/>
  <c r="G15" i="132"/>
  <c r="D15" i="132"/>
  <c r="C15" i="132"/>
  <c r="V14" i="132"/>
  <c r="W14" i="132" s="1"/>
  <c r="L14" i="132"/>
  <c r="E14" i="132"/>
  <c r="W13" i="132"/>
  <c r="E13" i="132"/>
  <c r="L13" i="132" s="1"/>
  <c r="V12" i="132"/>
  <c r="Y12" i="132" s="1"/>
  <c r="Z12" i="132" s="1"/>
  <c r="E12" i="132"/>
  <c r="L12" i="132" s="1"/>
  <c r="W11" i="132"/>
  <c r="V11" i="132"/>
  <c r="Y11" i="132" s="1"/>
  <c r="Z11" i="132" s="1"/>
  <c r="L11" i="132"/>
  <c r="E11" i="132"/>
  <c r="V10" i="132"/>
  <c r="W10" i="132" s="1"/>
  <c r="L10" i="132"/>
  <c r="E10" i="132"/>
  <c r="V9" i="132"/>
  <c r="W9" i="132" s="1"/>
  <c r="E9" i="132"/>
  <c r="L9" i="132" s="1"/>
  <c r="V8" i="132"/>
  <c r="Y8" i="132" s="1"/>
  <c r="Z8" i="132" s="1"/>
  <c r="E8" i="132"/>
  <c r="L8" i="132" s="1"/>
  <c r="V7" i="132"/>
  <c r="Y7" i="132" s="1"/>
  <c r="Z7" i="132" s="1"/>
  <c r="L7" i="132"/>
  <c r="E7" i="132"/>
  <c r="V6" i="132"/>
  <c r="W6" i="132" s="1"/>
  <c r="L6" i="132"/>
  <c r="E6" i="132"/>
  <c r="V5" i="132"/>
  <c r="W5" i="132" s="1"/>
  <c r="F5" i="132"/>
  <c r="E5" i="132"/>
  <c r="L5" i="132" s="1"/>
  <c r="V4" i="132"/>
  <c r="Y4" i="132" s="1"/>
  <c r="L4" i="132"/>
  <c r="F4" i="132"/>
  <c r="F15" i="132" s="1"/>
  <c r="E4" i="132"/>
  <c r="E15" i="132" s="1"/>
  <c r="U15" i="131"/>
  <c r="T15" i="131"/>
  <c r="S15" i="131"/>
  <c r="R15" i="131"/>
  <c r="Q15" i="131"/>
  <c r="P15" i="131"/>
  <c r="O15" i="131"/>
  <c r="N15" i="131"/>
  <c r="M15" i="131"/>
  <c r="K15" i="131"/>
  <c r="J15" i="131"/>
  <c r="G15" i="131"/>
  <c r="D15" i="131"/>
  <c r="C15" i="131"/>
  <c r="V14" i="131"/>
  <c r="Y14" i="131" s="1"/>
  <c r="Z14" i="131" s="1"/>
  <c r="E14" i="131"/>
  <c r="L14" i="131" s="1"/>
  <c r="V13" i="131"/>
  <c r="W13" i="131" s="1"/>
  <c r="E13" i="131"/>
  <c r="L13" i="131" s="1"/>
  <c r="V12" i="131"/>
  <c r="W12" i="131" s="1"/>
  <c r="E12" i="131"/>
  <c r="L12" i="131" s="1"/>
  <c r="V11" i="131"/>
  <c r="W11" i="131" s="1"/>
  <c r="E11" i="131"/>
  <c r="L11" i="131" s="1"/>
  <c r="V10" i="131"/>
  <c r="Y10" i="131" s="1"/>
  <c r="Z10" i="131" s="1"/>
  <c r="E10" i="131"/>
  <c r="L10" i="131" s="1"/>
  <c r="V9" i="131"/>
  <c r="W9" i="131" s="1"/>
  <c r="E9" i="131"/>
  <c r="L9" i="131" s="1"/>
  <c r="V8" i="131"/>
  <c r="W8" i="131" s="1"/>
  <c r="E8" i="131"/>
  <c r="L8" i="131" s="1"/>
  <c r="Y7" i="131"/>
  <c r="Z7" i="131" s="1"/>
  <c r="V7" i="131"/>
  <c r="W7" i="131" s="1"/>
  <c r="E7" i="131"/>
  <c r="L7" i="131" s="1"/>
  <c r="V6" i="131"/>
  <c r="Y6" i="131" s="1"/>
  <c r="Z6" i="131" s="1"/>
  <c r="E6" i="131"/>
  <c r="L6" i="131" s="1"/>
  <c r="V5" i="131"/>
  <c r="W5" i="131" s="1"/>
  <c r="F5" i="131"/>
  <c r="E5" i="131"/>
  <c r="L5" i="131" s="1"/>
  <c r="V4" i="131"/>
  <c r="Y4" i="131" s="1"/>
  <c r="F4" i="131"/>
  <c r="F15" i="131" s="1"/>
  <c r="E4" i="131"/>
  <c r="L4" i="131" s="1"/>
  <c r="V13" i="130"/>
  <c r="Y13" i="130" s="1"/>
  <c r="Z13" i="130" s="1"/>
  <c r="U15" i="130"/>
  <c r="T15" i="130"/>
  <c r="S15" i="130"/>
  <c r="R15" i="130"/>
  <c r="Q15" i="130"/>
  <c r="P15" i="130"/>
  <c r="O15" i="130"/>
  <c r="N15" i="130"/>
  <c r="M15" i="130"/>
  <c r="K15" i="130"/>
  <c r="J15" i="130"/>
  <c r="G15" i="130"/>
  <c r="D15" i="130"/>
  <c r="C15" i="130"/>
  <c r="V14" i="130"/>
  <c r="Y14" i="130" s="1"/>
  <c r="Z14" i="130" s="1"/>
  <c r="L14" i="130"/>
  <c r="E14" i="130"/>
  <c r="E13" i="130"/>
  <c r="L13" i="130" s="1"/>
  <c r="V12" i="130"/>
  <c r="Y12" i="130" s="1"/>
  <c r="Z12" i="130" s="1"/>
  <c r="E12" i="130"/>
  <c r="L12" i="130" s="1"/>
  <c r="Y11" i="130"/>
  <c r="Z11" i="130" s="1"/>
  <c r="V11" i="130"/>
  <c r="W11" i="130" s="1"/>
  <c r="E11" i="130"/>
  <c r="L11" i="130" s="1"/>
  <c r="Y10" i="130"/>
  <c r="Z10" i="130" s="1"/>
  <c r="V10" i="130"/>
  <c r="W10" i="130" s="1"/>
  <c r="L10" i="130"/>
  <c r="E10" i="130"/>
  <c r="V9" i="130"/>
  <c r="W9" i="130" s="1"/>
  <c r="E9" i="130"/>
  <c r="L9" i="130" s="1"/>
  <c r="V8" i="130"/>
  <c r="Y8" i="130" s="1"/>
  <c r="Z8" i="130" s="1"/>
  <c r="E8" i="130"/>
  <c r="L8" i="130" s="1"/>
  <c r="V7" i="130"/>
  <c r="Y7" i="130" s="1"/>
  <c r="Z7" i="130" s="1"/>
  <c r="E7" i="130"/>
  <c r="L7" i="130" s="1"/>
  <c r="V6" i="130"/>
  <c r="W6" i="130" s="1"/>
  <c r="L6" i="130"/>
  <c r="E6" i="130"/>
  <c r="V5" i="130"/>
  <c r="W5" i="130" s="1"/>
  <c r="I5" i="130"/>
  <c r="H5" i="130"/>
  <c r="F5" i="130"/>
  <c r="E5" i="130"/>
  <c r="L5" i="130" s="1"/>
  <c r="V4" i="130"/>
  <c r="L4" i="130"/>
  <c r="I4" i="130"/>
  <c r="I15" i="130" s="1"/>
  <c r="F4" i="130"/>
  <c r="F15" i="130" s="1"/>
  <c r="E4" i="130"/>
  <c r="H4" i="130" s="1"/>
  <c r="H15" i="130" s="1"/>
  <c r="U15" i="129"/>
  <c r="T15" i="129"/>
  <c r="S15" i="129"/>
  <c r="R15" i="129"/>
  <c r="Q15" i="129"/>
  <c r="P15" i="129"/>
  <c r="O15" i="129"/>
  <c r="N15" i="129"/>
  <c r="M15" i="129"/>
  <c r="K15" i="129"/>
  <c r="J15" i="129"/>
  <c r="G15" i="129"/>
  <c r="D15" i="129"/>
  <c r="C15" i="129"/>
  <c r="V14" i="129"/>
  <c r="Y14" i="129" s="1"/>
  <c r="Z14" i="129" s="1"/>
  <c r="L14" i="129"/>
  <c r="E14" i="129"/>
  <c r="Y13" i="129"/>
  <c r="Z13" i="129" s="1"/>
  <c r="W13" i="129"/>
  <c r="E13" i="129"/>
  <c r="L13" i="129" s="1"/>
  <c r="V12" i="129"/>
  <c r="W12" i="129" s="1"/>
  <c r="L12" i="129"/>
  <c r="E12" i="129"/>
  <c r="V11" i="129"/>
  <c r="Y11" i="129" s="1"/>
  <c r="Z11" i="129" s="1"/>
  <c r="E11" i="129"/>
  <c r="L11" i="129" s="1"/>
  <c r="V10" i="129"/>
  <c r="Y10" i="129" s="1"/>
  <c r="Z10" i="129" s="1"/>
  <c r="E10" i="129"/>
  <c r="L10" i="129" s="1"/>
  <c r="W9" i="129"/>
  <c r="V9" i="129"/>
  <c r="Y9" i="129" s="1"/>
  <c r="Z9" i="129" s="1"/>
  <c r="E9" i="129"/>
  <c r="L9" i="129" s="1"/>
  <c r="V8" i="129"/>
  <c r="W8" i="129" s="1"/>
  <c r="L8" i="129"/>
  <c r="E8" i="129"/>
  <c r="V7" i="129"/>
  <c r="Y7" i="129" s="1"/>
  <c r="Z7" i="129" s="1"/>
  <c r="E7" i="129"/>
  <c r="L7" i="129" s="1"/>
  <c r="V6" i="129"/>
  <c r="Y6" i="129" s="1"/>
  <c r="Z6" i="129" s="1"/>
  <c r="E6" i="129"/>
  <c r="L6" i="129" s="1"/>
  <c r="W5" i="129"/>
  <c r="V5" i="129"/>
  <c r="Y5" i="129" s="1"/>
  <c r="Z5" i="129" s="1"/>
  <c r="L5" i="129"/>
  <c r="F5" i="129"/>
  <c r="I5" i="129" s="1"/>
  <c r="E5" i="129"/>
  <c r="W4" i="129"/>
  <c r="V4" i="129"/>
  <c r="L4" i="129"/>
  <c r="H4" i="129"/>
  <c r="F4" i="129"/>
  <c r="F15" i="129" s="1"/>
  <c r="E4" i="129"/>
  <c r="I4" i="129" s="1"/>
  <c r="I15" i="129" s="1"/>
  <c r="U15" i="128"/>
  <c r="T15" i="128"/>
  <c r="S15" i="128"/>
  <c r="R15" i="128"/>
  <c r="Q15" i="128"/>
  <c r="P15" i="128"/>
  <c r="O15" i="128"/>
  <c r="N15" i="128"/>
  <c r="M15" i="128"/>
  <c r="K15" i="128"/>
  <c r="J15" i="128"/>
  <c r="G15" i="128"/>
  <c r="D15" i="128"/>
  <c r="C15" i="128"/>
  <c r="V14" i="128"/>
  <c r="Y14" i="128" s="1"/>
  <c r="Z14" i="128" s="1"/>
  <c r="E14" i="128"/>
  <c r="L14" i="128" s="1"/>
  <c r="Y13" i="128"/>
  <c r="Z13" i="128" s="1"/>
  <c r="W13" i="128"/>
  <c r="E13" i="128"/>
  <c r="L13" i="128" s="1"/>
  <c r="V12" i="128"/>
  <c r="Y12" i="128" s="1"/>
  <c r="Z12" i="128" s="1"/>
  <c r="L12" i="128"/>
  <c r="E12" i="128"/>
  <c r="V11" i="128"/>
  <c r="Y11" i="128" s="1"/>
  <c r="Z11" i="128" s="1"/>
  <c r="L11" i="128"/>
  <c r="E11" i="128"/>
  <c r="V10" i="128"/>
  <c r="Y10" i="128" s="1"/>
  <c r="Z10" i="128" s="1"/>
  <c r="E10" i="128"/>
  <c r="L10" i="128" s="1"/>
  <c r="V9" i="128"/>
  <c r="Y9" i="128" s="1"/>
  <c r="Z9" i="128" s="1"/>
  <c r="E9" i="128"/>
  <c r="L9" i="128" s="1"/>
  <c r="V8" i="128"/>
  <c r="W8" i="128" s="1"/>
  <c r="L8" i="128"/>
  <c r="E8" i="128"/>
  <c r="V7" i="128"/>
  <c r="Y7" i="128" s="1"/>
  <c r="Z7" i="128" s="1"/>
  <c r="E7" i="128"/>
  <c r="L7" i="128" s="1"/>
  <c r="V6" i="128"/>
  <c r="Y6" i="128" s="1"/>
  <c r="Z6" i="128" s="1"/>
  <c r="E6" i="128"/>
  <c r="L6" i="128" s="1"/>
  <c r="W5" i="128"/>
  <c r="V5" i="128"/>
  <c r="Y5" i="128" s="1"/>
  <c r="Z5" i="128" s="1"/>
  <c r="F5" i="128"/>
  <c r="I5" i="128" s="1"/>
  <c r="E5" i="128"/>
  <c r="L5" i="128" s="1"/>
  <c r="V4" i="128"/>
  <c r="H4" i="128"/>
  <c r="F4" i="128"/>
  <c r="F15" i="128" s="1"/>
  <c r="E4" i="128"/>
  <c r="L4" i="128" s="1"/>
  <c r="L15" i="128" s="1"/>
  <c r="V15" i="127"/>
  <c r="U15" i="127"/>
  <c r="T15" i="127"/>
  <c r="S15" i="127"/>
  <c r="R15" i="127"/>
  <c r="Q15" i="127"/>
  <c r="P15" i="127"/>
  <c r="O15" i="127"/>
  <c r="N15" i="127"/>
  <c r="M15" i="127"/>
  <c r="K15" i="127"/>
  <c r="J15" i="127"/>
  <c r="G15" i="127"/>
  <c r="D15" i="127"/>
  <c r="C15" i="127"/>
  <c r="V14" i="127"/>
  <c r="Y14" i="127" s="1"/>
  <c r="Z14" i="127" s="1"/>
  <c r="E14" i="127"/>
  <c r="L14" i="127" s="1"/>
  <c r="Y13" i="127"/>
  <c r="Z13" i="127" s="1"/>
  <c r="W13" i="127"/>
  <c r="E13" i="127"/>
  <c r="L13" i="127" s="1"/>
  <c r="V12" i="127"/>
  <c r="Y12" i="127" s="1"/>
  <c r="Z12" i="127" s="1"/>
  <c r="L12" i="127"/>
  <c r="E12" i="127"/>
  <c r="V11" i="127"/>
  <c r="Y11" i="127" s="1"/>
  <c r="Z11" i="127" s="1"/>
  <c r="E11" i="127"/>
  <c r="L11" i="127" s="1"/>
  <c r="V10" i="127"/>
  <c r="W10" i="127" s="1"/>
  <c r="L10" i="127"/>
  <c r="E10" i="127"/>
  <c r="V9" i="127"/>
  <c r="Y9" i="127" s="1"/>
  <c r="Z9" i="127" s="1"/>
  <c r="E9" i="127"/>
  <c r="L9" i="127" s="1"/>
  <c r="V8" i="127"/>
  <c r="Y8" i="127" s="1"/>
  <c r="Z8" i="127" s="1"/>
  <c r="L8" i="127"/>
  <c r="E8" i="127"/>
  <c r="V7" i="127"/>
  <c r="Y7" i="127" s="1"/>
  <c r="Z7" i="127" s="1"/>
  <c r="E7" i="127"/>
  <c r="L7" i="127" s="1"/>
  <c r="V6" i="127"/>
  <c r="W6" i="127" s="1"/>
  <c r="L6" i="127"/>
  <c r="E6" i="127"/>
  <c r="V5" i="127"/>
  <c r="Y5" i="127" s="1"/>
  <c r="Z5" i="127" s="1"/>
  <c r="I5" i="127"/>
  <c r="H5" i="127"/>
  <c r="F5" i="127"/>
  <c r="E5" i="127"/>
  <c r="L5" i="127" s="1"/>
  <c r="V4" i="127"/>
  <c r="L4" i="127"/>
  <c r="I4" i="127"/>
  <c r="I15" i="127" s="1"/>
  <c r="F4" i="127"/>
  <c r="F15" i="127" s="1"/>
  <c r="E4" i="127"/>
  <c r="H4" i="127" s="1"/>
  <c r="H15" i="127" s="1"/>
  <c r="U15" i="126"/>
  <c r="T15" i="126"/>
  <c r="S15" i="126"/>
  <c r="R15" i="126"/>
  <c r="Q15" i="126"/>
  <c r="P15" i="126"/>
  <c r="O15" i="126"/>
  <c r="N15" i="126"/>
  <c r="M15" i="126"/>
  <c r="K15" i="126"/>
  <c r="J15" i="126"/>
  <c r="G15" i="126"/>
  <c r="D15" i="126"/>
  <c r="C15" i="126"/>
  <c r="V14" i="126"/>
  <c r="W14" i="126" s="1"/>
  <c r="E14" i="126"/>
  <c r="L14" i="126" s="1"/>
  <c r="Y13" i="126"/>
  <c r="Z13" i="126" s="1"/>
  <c r="W13" i="126"/>
  <c r="L13" i="126"/>
  <c r="E13" i="126"/>
  <c r="V12" i="126"/>
  <c r="Y12" i="126" s="1"/>
  <c r="Z12" i="126" s="1"/>
  <c r="E12" i="126"/>
  <c r="L12" i="126" s="1"/>
  <c r="V11" i="126"/>
  <c r="Y11" i="126" s="1"/>
  <c r="Z11" i="126" s="1"/>
  <c r="E11" i="126"/>
  <c r="L11" i="126" s="1"/>
  <c r="V10" i="126"/>
  <c r="W10" i="126" s="1"/>
  <c r="E10" i="126"/>
  <c r="L10" i="126" s="1"/>
  <c r="V9" i="126"/>
  <c r="W9" i="126" s="1"/>
  <c r="L9" i="126"/>
  <c r="E9" i="126"/>
  <c r="V8" i="126"/>
  <c r="Y8" i="126" s="1"/>
  <c r="Z8" i="126" s="1"/>
  <c r="E8" i="126"/>
  <c r="L8" i="126" s="1"/>
  <c r="V7" i="126"/>
  <c r="Y7" i="126" s="1"/>
  <c r="Z7" i="126" s="1"/>
  <c r="E7" i="126"/>
  <c r="L7" i="126" s="1"/>
  <c r="V6" i="126"/>
  <c r="W6" i="126" s="1"/>
  <c r="E6" i="126"/>
  <c r="L6" i="126" s="1"/>
  <c r="V5" i="126"/>
  <c r="W5" i="126" s="1"/>
  <c r="L5" i="126"/>
  <c r="F5" i="126"/>
  <c r="I5" i="126" s="1"/>
  <c r="E5" i="126"/>
  <c r="V4" i="126"/>
  <c r="F4" i="126"/>
  <c r="F15" i="126" s="1"/>
  <c r="E4" i="126"/>
  <c r="L4" i="126" s="1"/>
  <c r="U19" i="125"/>
  <c r="V4" i="125"/>
  <c r="W4" i="125" s="1"/>
  <c r="R5" i="125"/>
  <c r="R6" i="125"/>
  <c r="R7" i="125"/>
  <c r="R8" i="125"/>
  <c r="R9" i="125"/>
  <c r="R10" i="125"/>
  <c r="R11" i="125"/>
  <c r="R12" i="125"/>
  <c r="R13" i="125"/>
  <c r="R14" i="125"/>
  <c r="R4" i="125"/>
  <c r="U15" i="125"/>
  <c r="T15" i="125"/>
  <c r="S15" i="125"/>
  <c r="Q15" i="125"/>
  <c r="P15" i="125"/>
  <c r="O15" i="125"/>
  <c r="N15" i="125"/>
  <c r="M15" i="125"/>
  <c r="K15" i="125"/>
  <c r="J15" i="125"/>
  <c r="G15" i="125"/>
  <c r="D15" i="125"/>
  <c r="C15" i="125"/>
  <c r="V14" i="125"/>
  <c r="W14" i="125" s="1"/>
  <c r="E14" i="125"/>
  <c r="L14" i="125" s="1"/>
  <c r="W13" i="125"/>
  <c r="Y13" i="125" s="1"/>
  <c r="E13" i="125"/>
  <c r="L13" i="125" s="1"/>
  <c r="W12" i="125"/>
  <c r="AA12" i="125" s="1"/>
  <c r="AB12" i="125" s="1"/>
  <c r="E12" i="125"/>
  <c r="L12" i="125" s="1"/>
  <c r="W11" i="125"/>
  <c r="AA11" i="125" s="1"/>
  <c r="AB11" i="125" s="1"/>
  <c r="E11" i="125"/>
  <c r="L11" i="125" s="1"/>
  <c r="W10" i="125"/>
  <c r="AA10" i="125" s="1"/>
  <c r="AB10" i="125" s="1"/>
  <c r="E10" i="125"/>
  <c r="L10" i="125" s="1"/>
  <c r="W9" i="125"/>
  <c r="Y9" i="125" s="1"/>
  <c r="E9" i="125"/>
  <c r="L9" i="125" s="1"/>
  <c r="W8" i="125"/>
  <c r="AA8" i="125" s="1"/>
  <c r="AB8" i="125" s="1"/>
  <c r="E8" i="125"/>
  <c r="L8" i="125" s="1"/>
  <c r="W7" i="125"/>
  <c r="Y7" i="125" s="1"/>
  <c r="E7" i="125"/>
  <c r="L7" i="125" s="1"/>
  <c r="W6" i="125"/>
  <c r="AA6" i="125" s="1"/>
  <c r="AB6" i="125" s="1"/>
  <c r="E6" i="125"/>
  <c r="L6" i="125" s="1"/>
  <c r="W5" i="125"/>
  <c r="Y5" i="125" s="1"/>
  <c r="L5" i="125"/>
  <c r="F5" i="125"/>
  <c r="E5" i="125"/>
  <c r="I5" i="125" s="1"/>
  <c r="F4" i="125"/>
  <c r="E4" i="125"/>
  <c r="L4" i="125" s="1"/>
  <c r="AA15" i="145" l="1"/>
  <c r="Z14" i="144"/>
  <c r="AA14" i="144" s="1"/>
  <c r="Y14" i="144"/>
  <c r="Y5" i="143"/>
  <c r="Z5" i="143" s="1"/>
  <c r="Z14" i="143"/>
  <c r="Y14" i="143"/>
  <c r="W14" i="143"/>
  <c r="H14" i="142"/>
  <c r="Y14" i="142"/>
  <c r="Z4" i="142"/>
  <c r="Z14" i="142" s="1"/>
  <c r="W14" i="142"/>
  <c r="Z14" i="141"/>
  <c r="Y14" i="141"/>
  <c r="W14" i="141"/>
  <c r="Y9" i="140"/>
  <c r="Z9" i="140" s="1"/>
  <c r="Y7" i="140"/>
  <c r="Z7" i="140" s="1"/>
  <c r="Y5" i="140"/>
  <c r="Z5" i="140" s="1"/>
  <c r="Y11" i="140"/>
  <c r="Z11" i="140" s="1"/>
  <c r="W8" i="140"/>
  <c r="L14" i="140"/>
  <c r="Z4" i="140"/>
  <c r="H4" i="140"/>
  <c r="I4" i="140"/>
  <c r="H5" i="140"/>
  <c r="I5" i="140"/>
  <c r="W6" i="140"/>
  <c r="W10" i="140"/>
  <c r="V14" i="140"/>
  <c r="W4" i="140"/>
  <c r="W13" i="140"/>
  <c r="W10" i="139"/>
  <c r="W6" i="139"/>
  <c r="W8" i="139"/>
  <c r="L14" i="139"/>
  <c r="Z4" i="139"/>
  <c r="Z14" i="139" s="1"/>
  <c r="Y14" i="139"/>
  <c r="H4" i="139"/>
  <c r="I4" i="139"/>
  <c r="H5" i="139"/>
  <c r="W7" i="139"/>
  <c r="W11" i="139"/>
  <c r="I5" i="139"/>
  <c r="V14" i="139"/>
  <c r="W4" i="139"/>
  <c r="W13" i="139"/>
  <c r="W5" i="139"/>
  <c r="W9" i="139"/>
  <c r="W6" i="138"/>
  <c r="Y7" i="138"/>
  <c r="Z7" i="138" s="1"/>
  <c r="H14" i="138"/>
  <c r="F14" i="138"/>
  <c r="W8" i="138"/>
  <c r="I4" i="138"/>
  <c r="I14" i="138" s="1"/>
  <c r="V14" i="138"/>
  <c r="L14" i="138"/>
  <c r="W4" i="138"/>
  <c r="Y4" i="138"/>
  <c r="W5" i="138"/>
  <c r="W9" i="138"/>
  <c r="W11" i="138"/>
  <c r="E14" i="138"/>
  <c r="W10" i="138"/>
  <c r="W14" i="137"/>
  <c r="Y4" i="137"/>
  <c r="Y15" i="137" s="1"/>
  <c r="W12" i="137"/>
  <c r="W11" i="137"/>
  <c r="W9" i="137"/>
  <c r="W8" i="137"/>
  <c r="W7" i="137"/>
  <c r="L15" i="137"/>
  <c r="Z4" i="137"/>
  <c r="Z15" i="137" s="1"/>
  <c r="H4" i="137"/>
  <c r="H15" i="137" s="1"/>
  <c r="V15" i="137"/>
  <c r="H5" i="137"/>
  <c r="E15" i="137"/>
  <c r="I5" i="137"/>
  <c r="I15" i="137" s="1"/>
  <c r="W6" i="137"/>
  <c r="W10" i="137"/>
  <c r="W6" i="136"/>
  <c r="Y9" i="136"/>
  <c r="Z9" i="136" s="1"/>
  <c r="Y14" i="136"/>
  <c r="Z14" i="136" s="1"/>
  <c r="W10" i="136"/>
  <c r="Y5" i="136"/>
  <c r="Z5" i="136" s="1"/>
  <c r="Z4" i="136"/>
  <c r="W12" i="136"/>
  <c r="L5" i="136"/>
  <c r="L15" i="136" s="1"/>
  <c r="W4" i="136"/>
  <c r="E15" i="136"/>
  <c r="V15" i="136"/>
  <c r="W8" i="136"/>
  <c r="H4" i="136"/>
  <c r="I4" i="136"/>
  <c r="I15" i="136" s="1"/>
  <c r="H5" i="136"/>
  <c r="W7" i="136"/>
  <c r="W11" i="136"/>
  <c r="Y11" i="135"/>
  <c r="Z11" i="135" s="1"/>
  <c r="Y10" i="135"/>
  <c r="Z10" i="135" s="1"/>
  <c r="Y6" i="135"/>
  <c r="Z6" i="135" s="1"/>
  <c r="V15" i="135"/>
  <c r="Y5" i="135"/>
  <c r="Z5" i="135" s="1"/>
  <c r="W4" i="135"/>
  <c r="Y4" i="135"/>
  <c r="H4" i="135"/>
  <c r="Y8" i="135"/>
  <c r="Z8" i="135" s="1"/>
  <c r="Y12" i="135"/>
  <c r="Z12" i="135" s="1"/>
  <c r="I4" i="135"/>
  <c r="I15" i="135" s="1"/>
  <c r="H5" i="135"/>
  <c r="L4" i="135"/>
  <c r="L15" i="135" s="1"/>
  <c r="I5" i="135"/>
  <c r="W14" i="135"/>
  <c r="W15" i="135" s="1"/>
  <c r="Y10" i="134"/>
  <c r="Z10" i="134" s="1"/>
  <c r="W11" i="134"/>
  <c r="V15" i="134"/>
  <c r="W7" i="134"/>
  <c r="Y6" i="134"/>
  <c r="Z6" i="134" s="1"/>
  <c r="W4" i="134"/>
  <c r="Y4" i="134"/>
  <c r="L15" i="134"/>
  <c r="W5" i="134"/>
  <c r="Z4" i="134"/>
  <c r="Y9" i="134"/>
  <c r="Z9" i="134" s="1"/>
  <c r="W8" i="134"/>
  <c r="W12" i="134"/>
  <c r="E15" i="134"/>
  <c r="H4" i="134"/>
  <c r="H15" i="134" s="1"/>
  <c r="W14" i="134"/>
  <c r="W8" i="133"/>
  <c r="V15" i="133"/>
  <c r="W4" i="133"/>
  <c r="Y4" i="133"/>
  <c r="Y15" i="133" s="1"/>
  <c r="H4" i="133"/>
  <c r="H5" i="133"/>
  <c r="I5" i="133"/>
  <c r="I15" i="133" s="1"/>
  <c r="W14" i="133"/>
  <c r="E15" i="133"/>
  <c r="W6" i="133"/>
  <c r="W10" i="133"/>
  <c r="Y14" i="132"/>
  <c r="Z14" i="132" s="1"/>
  <c r="W12" i="132"/>
  <c r="Y10" i="132"/>
  <c r="Z10" i="132" s="1"/>
  <c r="W8" i="132"/>
  <c r="W7" i="132"/>
  <c r="Y6" i="132"/>
  <c r="Z6" i="132" s="1"/>
  <c r="W4" i="132"/>
  <c r="Z4" i="132"/>
  <c r="L15" i="132"/>
  <c r="Y5" i="132"/>
  <c r="Z5" i="132" s="1"/>
  <c r="Y9" i="132"/>
  <c r="Z9" i="132" s="1"/>
  <c r="Y13" i="132"/>
  <c r="Z13" i="132" s="1"/>
  <c r="H4" i="132"/>
  <c r="H15" i="132" s="1"/>
  <c r="I4" i="132"/>
  <c r="I15" i="132" s="1"/>
  <c r="H5" i="132"/>
  <c r="V15" i="132"/>
  <c r="I5" i="132"/>
  <c r="Y9" i="131"/>
  <c r="Z9" i="131" s="1"/>
  <c r="Y13" i="131"/>
  <c r="Z13" i="131" s="1"/>
  <c r="Y11" i="131"/>
  <c r="Z11" i="131" s="1"/>
  <c r="Y5" i="131"/>
  <c r="Z5" i="131" s="1"/>
  <c r="W4" i="131"/>
  <c r="L15" i="131"/>
  <c r="Z4" i="131"/>
  <c r="H4" i="131"/>
  <c r="H15" i="131" s="1"/>
  <c r="Y8" i="131"/>
  <c r="Z8" i="131" s="1"/>
  <c r="Y12" i="131"/>
  <c r="Z12" i="131" s="1"/>
  <c r="E15" i="131"/>
  <c r="I4" i="131"/>
  <c r="I15" i="131" s="1"/>
  <c r="H5" i="131"/>
  <c r="V15" i="131"/>
  <c r="I5" i="131"/>
  <c r="W6" i="131"/>
  <c r="W10" i="131"/>
  <c r="W14" i="131"/>
  <c r="W13" i="130"/>
  <c r="W7" i="130"/>
  <c r="V15" i="130"/>
  <c r="Y6" i="130"/>
  <c r="Z6" i="130" s="1"/>
  <c r="Y4" i="130"/>
  <c r="Z4" i="130" s="1"/>
  <c r="W4" i="130"/>
  <c r="L15" i="130"/>
  <c r="Y5" i="130"/>
  <c r="Z5" i="130" s="1"/>
  <c r="Y9" i="130"/>
  <c r="Z9" i="130" s="1"/>
  <c r="W8" i="130"/>
  <c r="W12" i="130"/>
  <c r="E15" i="130"/>
  <c r="W14" i="130"/>
  <c r="Y12" i="129"/>
  <c r="Z12" i="129" s="1"/>
  <c r="Y8" i="129"/>
  <c r="Z8" i="129" s="1"/>
  <c r="V15" i="129"/>
  <c r="Y4" i="129"/>
  <c r="L15" i="129"/>
  <c r="E15" i="129"/>
  <c r="H5" i="129"/>
  <c r="H15" i="129" s="1"/>
  <c r="W7" i="129"/>
  <c r="W11" i="129"/>
  <c r="W14" i="129"/>
  <c r="W6" i="129"/>
  <c r="W10" i="129"/>
  <c r="W12" i="128"/>
  <c r="W9" i="128"/>
  <c r="Y8" i="128"/>
  <c r="Z8" i="128" s="1"/>
  <c r="V15" i="128"/>
  <c r="Y4" i="128"/>
  <c r="W4" i="128"/>
  <c r="H15" i="128"/>
  <c r="E15" i="128"/>
  <c r="I4" i="128"/>
  <c r="I15" i="128" s="1"/>
  <c r="H5" i="128"/>
  <c r="W7" i="128"/>
  <c r="W11" i="128"/>
  <c r="W14" i="128"/>
  <c r="W6" i="128"/>
  <c r="W10" i="128"/>
  <c r="Y6" i="127"/>
  <c r="Z6" i="127" s="1"/>
  <c r="W11" i="127"/>
  <c r="Y10" i="127"/>
  <c r="Z10" i="127" s="1"/>
  <c r="W9" i="127"/>
  <c r="W7" i="127"/>
  <c r="W5" i="127"/>
  <c r="W4" i="127"/>
  <c r="Y4" i="127"/>
  <c r="L15" i="127"/>
  <c r="W8" i="127"/>
  <c r="W12" i="127"/>
  <c r="E15" i="127"/>
  <c r="W14" i="127"/>
  <c r="Y14" i="126"/>
  <c r="Z14" i="126" s="1"/>
  <c r="Y10" i="126"/>
  <c r="Z10" i="126" s="1"/>
  <c r="V15" i="126"/>
  <c r="Y6" i="126"/>
  <c r="Z6" i="126" s="1"/>
  <c r="L15" i="126"/>
  <c r="W4" i="126"/>
  <c r="Y4" i="126"/>
  <c r="Y5" i="126"/>
  <c r="Z5" i="126" s="1"/>
  <c r="Y9" i="126"/>
  <c r="Z9" i="126" s="1"/>
  <c r="W8" i="126"/>
  <c r="W12" i="126"/>
  <c r="E15" i="126"/>
  <c r="H4" i="126"/>
  <c r="I4" i="126"/>
  <c r="I15" i="126" s="1"/>
  <c r="H5" i="126"/>
  <c r="W7" i="126"/>
  <c r="W11" i="126"/>
  <c r="V15" i="125"/>
  <c r="E15" i="125"/>
  <c r="I4" i="125"/>
  <c r="I15" i="125" s="1"/>
  <c r="F15" i="125"/>
  <c r="H5" i="125"/>
  <c r="AA7" i="125"/>
  <c r="AB7" i="125" s="1"/>
  <c r="R15" i="125"/>
  <c r="AA13" i="125"/>
  <c r="AB13" i="125" s="1"/>
  <c r="Y11" i="125"/>
  <c r="AA9" i="125"/>
  <c r="AB9" i="125" s="1"/>
  <c r="AA5" i="125"/>
  <c r="AB5" i="125" s="1"/>
  <c r="AA14" i="125"/>
  <c r="AB14" i="125" s="1"/>
  <c r="Y14" i="125"/>
  <c r="L15" i="125"/>
  <c r="W15" i="125"/>
  <c r="U20" i="125" s="1"/>
  <c r="AA4" i="125"/>
  <c r="Y4" i="125"/>
  <c r="Y12" i="125"/>
  <c r="H4" i="125"/>
  <c r="Y8" i="125"/>
  <c r="Y6" i="125"/>
  <c r="Y10" i="125"/>
  <c r="U14" i="124"/>
  <c r="V13" i="124"/>
  <c r="X13" i="125" s="1"/>
  <c r="U4" i="124"/>
  <c r="AA14" i="143" l="1"/>
  <c r="AA14" i="142"/>
  <c r="AA14" i="141"/>
  <c r="Y14" i="140"/>
  <c r="Z14" i="140"/>
  <c r="I14" i="140"/>
  <c r="H14" i="140"/>
  <c r="W14" i="140"/>
  <c r="I14" i="139"/>
  <c r="H14" i="139"/>
  <c r="W14" i="139"/>
  <c r="AA14" i="139" s="1"/>
  <c r="Y14" i="138"/>
  <c r="Z4" i="138"/>
  <c r="Z14" i="138" s="1"/>
  <c r="W14" i="138"/>
  <c r="W15" i="137"/>
  <c r="AA15" i="137" s="1"/>
  <c r="Y15" i="136"/>
  <c r="W15" i="136"/>
  <c r="Z15" i="136"/>
  <c r="H15" i="136"/>
  <c r="H15" i="135"/>
  <c r="Z4" i="135"/>
  <c r="Z15" i="135" s="1"/>
  <c r="AA15" i="135" s="1"/>
  <c r="Y15" i="135"/>
  <c r="W15" i="134"/>
  <c r="Y15" i="134"/>
  <c r="Z15" i="134"/>
  <c r="W15" i="133"/>
  <c r="Z4" i="133"/>
  <c r="Z15" i="133" s="1"/>
  <c r="H15" i="133"/>
  <c r="W15" i="132"/>
  <c r="Y15" i="132"/>
  <c r="Z15" i="132"/>
  <c r="W15" i="131"/>
  <c r="Z15" i="131"/>
  <c r="Y15" i="131"/>
  <c r="W15" i="130"/>
  <c r="Z15" i="130"/>
  <c r="Y15" i="130"/>
  <c r="W15" i="129"/>
  <c r="Y15" i="129"/>
  <c r="Z4" i="129"/>
  <c r="Z15" i="129" s="1"/>
  <c r="Y15" i="128"/>
  <c r="W15" i="128"/>
  <c r="Z4" i="128"/>
  <c r="Z15" i="128" s="1"/>
  <c r="Y15" i="127"/>
  <c r="W15" i="127"/>
  <c r="Z4" i="127"/>
  <c r="Z15" i="127" s="1"/>
  <c r="Y15" i="126"/>
  <c r="Z4" i="126"/>
  <c r="Z15" i="126" s="1"/>
  <c r="W15" i="126"/>
  <c r="H15" i="126"/>
  <c r="H15" i="125"/>
  <c r="Y15" i="125"/>
  <c r="AA15" i="125"/>
  <c r="AB4" i="125"/>
  <c r="U15" i="124"/>
  <c r="T15" i="124"/>
  <c r="S15" i="124"/>
  <c r="R15" i="124"/>
  <c r="Q15" i="124"/>
  <c r="T19" i="125" s="1"/>
  <c r="W19" i="125" s="1"/>
  <c r="P15" i="124"/>
  <c r="O15" i="124"/>
  <c r="N15" i="124"/>
  <c r="M15" i="124"/>
  <c r="K15" i="124"/>
  <c r="J15" i="124"/>
  <c r="G15" i="124"/>
  <c r="D15" i="124"/>
  <c r="C15" i="124"/>
  <c r="V14" i="124"/>
  <c r="E14" i="124"/>
  <c r="L14" i="124" s="1"/>
  <c r="Y13" i="124"/>
  <c r="Z13" i="124" s="1"/>
  <c r="AC13" i="125" s="1"/>
  <c r="W13" i="124"/>
  <c r="E13" i="124"/>
  <c r="L13" i="124" s="1"/>
  <c r="V12" i="124"/>
  <c r="E12" i="124"/>
  <c r="L12" i="124" s="1"/>
  <c r="V11" i="124"/>
  <c r="E11" i="124"/>
  <c r="L11" i="124" s="1"/>
  <c r="V10" i="124"/>
  <c r="E10" i="124"/>
  <c r="L10" i="124" s="1"/>
  <c r="V9" i="124"/>
  <c r="E9" i="124"/>
  <c r="L9" i="124" s="1"/>
  <c r="V8" i="124"/>
  <c r="E8" i="124"/>
  <c r="L8" i="124" s="1"/>
  <c r="V7" i="124"/>
  <c r="E7" i="124"/>
  <c r="L7" i="124" s="1"/>
  <c r="V6" i="124"/>
  <c r="E6" i="124"/>
  <c r="L6" i="124" s="1"/>
  <c r="V5" i="124"/>
  <c r="F5" i="124"/>
  <c r="E5" i="124"/>
  <c r="V4" i="124"/>
  <c r="X4" i="125" s="1"/>
  <c r="F4" i="124"/>
  <c r="E4" i="124"/>
  <c r="L4" i="124" s="1"/>
  <c r="U15" i="123"/>
  <c r="T15" i="123"/>
  <c r="S15" i="123"/>
  <c r="R15" i="123"/>
  <c r="Q15" i="123"/>
  <c r="P15" i="123"/>
  <c r="O15" i="123"/>
  <c r="N15" i="123"/>
  <c r="M15" i="123"/>
  <c r="K15" i="123"/>
  <c r="J15" i="123"/>
  <c r="G15" i="123"/>
  <c r="D15" i="123"/>
  <c r="C15" i="123"/>
  <c r="V14" i="123"/>
  <c r="Y14" i="123" s="1"/>
  <c r="Z14" i="123" s="1"/>
  <c r="E14" i="123"/>
  <c r="L14" i="123" s="1"/>
  <c r="Y13" i="123"/>
  <c r="Z13" i="123" s="1"/>
  <c r="W13" i="123"/>
  <c r="E13" i="123"/>
  <c r="L13" i="123" s="1"/>
  <c r="V12" i="123"/>
  <c r="Y12" i="123" s="1"/>
  <c r="Z12" i="123" s="1"/>
  <c r="E12" i="123"/>
  <c r="L12" i="123" s="1"/>
  <c r="V11" i="123"/>
  <c r="Y11" i="123" s="1"/>
  <c r="Z11" i="123" s="1"/>
  <c r="E11" i="123"/>
  <c r="L11" i="123" s="1"/>
  <c r="V10" i="123"/>
  <c r="Y10" i="123" s="1"/>
  <c r="Z10" i="123" s="1"/>
  <c r="L10" i="123"/>
  <c r="E10" i="123"/>
  <c r="V9" i="123"/>
  <c r="Y9" i="123" s="1"/>
  <c r="Z9" i="123" s="1"/>
  <c r="E9" i="123"/>
  <c r="L9" i="123" s="1"/>
  <c r="V8" i="123"/>
  <c r="Y8" i="123" s="1"/>
  <c r="Z8" i="123" s="1"/>
  <c r="E8" i="123"/>
  <c r="L8" i="123" s="1"/>
  <c r="V7" i="123"/>
  <c r="Y7" i="123" s="1"/>
  <c r="Z7" i="123" s="1"/>
  <c r="E7" i="123"/>
  <c r="L7" i="123" s="1"/>
  <c r="V6" i="123"/>
  <c r="Y6" i="123" s="1"/>
  <c r="Z6" i="123" s="1"/>
  <c r="E6" i="123"/>
  <c r="L6" i="123" s="1"/>
  <c r="V5" i="123"/>
  <c r="Y5" i="123" s="1"/>
  <c r="Z5" i="123" s="1"/>
  <c r="F5" i="123"/>
  <c r="E5" i="123"/>
  <c r="L5" i="123" s="1"/>
  <c r="V4" i="123"/>
  <c r="W4" i="123" s="1"/>
  <c r="F4" i="123"/>
  <c r="F15" i="123" s="1"/>
  <c r="E4" i="123"/>
  <c r="Q15" i="122"/>
  <c r="U15" i="122"/>
  <c r="T15" i="122"/>
  <c r="S15" i="122"/>
  <c r="R15" i="122"/>
  <c r="P15" i="122"/>
  <c r="O15" i="122"/>
  <c r="N15" i="122"/>
  <c r="M15" i="122"/>
  <c r="K15" i="122"/>
  <c r="J15" i="122"/>
  <c r="G15" i="122"/>
  <c r="D15" i="122"/>
  <c r="C15" i="122"/>
  <c r="V14" i="122"/>
  <c r="Y14" i="122" s="1"/>
  <c r="Z14" i="122" s="1"/>
  <c r="E14" i="122"/>
  <c r="L14" i="122" s="1"/>
  <c r="Y13" i="122"/>
  <c r="Z13" i="122" s="1"/>
  <c r="W13" i="122"/>
  <c r="E13" i="122"/>
  <c r="L13" i="122" s="1"/>
  <c r="V12" i="122"/>
  <c r="Y12" i="122" s="1"/>
  <c r="Z12" i="122" s="1"/>
  <c r="E12" i="122"/>
  <c r="L12" i="122" s="1"/>
  <c r="V11" i="122"/>
  <c r="Y11" i="122" s="1"/>
  <c r="Z11" i="122" s="1"/>
  <c r="L11" i="122"/>
  <c r="E11" i="122"/>
  <c r="V10" i="122"/>
  <c r="W10" i="122" s="1"/>
  <c r="E10" i="122"/>
  <c r="L10" i="122" s="1"/>
  <c r="V9" i="122"/>
  <c r="Y9" i="122" s="1"/>
  <c r="Z9" i="122" s="1"/>
  <c r="E9" i="122"/>
  <c r="L9" i="122" s="1"/>
  <c r="V8" i="122"/>
  <c r="Y8" i="122" s="1"/>
  <c r="Z8" i="122" s="1"/>
  <c r="E8" i="122"/>
  <c r="L8" i="122" s="1"/>
  <c r="V7" i="122"/>
  <c r="Y7" i="122" s="1"/>
  <c r="Z7" i="122" s="1"/>
  <c r="E7" i="122"/>
  <c r="L7" i="122" s="1"/>
  <c r="V6" i="122"/>
  <c r="W6" i="122" s="1"/>
  <c r="E6" i="122"/>
  <c r="L6" i="122" s="1"/>
  <c r="V5" i="122"/>
  <c r="Y5" i="122" s="1"/>
  <c r="Z5" i="122" s="1"/>
  <c r="F5" i="122"/>
  <c r="E5" i="122"/>
  <c r="L5" i="122" s="1"/>
  <c r="V4" i="122"/>
  <c r="F4" i="122"/>
  <c r="E4" i="122"/>
  <c r="E15" i="122" s="1"/>
  <c r="U15" i="121"/>
  <c r="T15" i="121"/>
  <c r="S15" i="121"/>
  <c r="R15" i="121"/>
  <c r="Q15" i="121"/>
  <c r="P15" i="121"/>
  <c r="O15" i="121"/>
  <c r="N15" i="121"/>
  <c r="M15" i="121"/>
  <c r="K15" i="121"/>
  <c r="J15" i="121"/>
  <c r="G15" i="121"/>
  <c r="D15" i="121"/>
  <c r="C15" i="121"/>
  <c r="V14" i="121"/>
  <c r="Y14" i="121" s="1"/>
  <c r="Z14" i="121" s="1"/>
  <c r="E14" i="121"/>
  <c r="L14" i="121" s="1"/>
  <c r="Y13" i="121"/>
  <c r="Z13" i="121" s="1"/>
  <c r="W13" i="121"/>
  <c r="E13" i="121"/>
  <c r="L13" i="121" s="1"/>
  <c r="V12" i="121"/>
  <c r="W12" i="121" s="1"/>
  <c r="E12" i="121"/>
  <c r="L12" i="121" s="1"/>
  <c r="V11" i="121"/>
  <c r="Y11" i="121" s="1"/>
  <c r="Z11" i="121" s="1"/>
  <c r="E11" i="121"/>
  <c r="L11" i="121" s="1"/>
  <c r="V10" i="121"/>
  <c r="Y10" i="121" s="1"/>
  <c r="Z10" i="121" s="1"/>
  <c r="E10" i="121"/>
  <c r="L10" i="121" s="1"/>
  <c r="Y9" i="121"/>
  <c r="Z9" i="121" s="1"/>
  <c r="V9" i="121"/>
  <c r="W9" i="121" s="1"/>
  <c r="E9" i="121"/>
  <c r="L9" i="121" s="1"/>
  <c r="V8" i="121"/>
  <c r="W8" i="121" s="1"/>
  <c r="E8" i="121"/>
  <c r="L8" i="121" s="1"/>
  <c r="V7" i="121"/>
  <c r="Y7" i="121" s="1"/>
  <c r="Z7" i="121" s="1"/>
  <c r="E7" i="121"/>
  <c r="L7" i="121" s="1"/>
  <c r="V6" i="121"/>
  <c r="Y6" i="121" s="1"/>
  <c r="Z6" i="121" s="1"/>
  <c r="E6" i="121"/>
  <c r="L6" i="121" s="1"/>
  <c r="V5" i="121"/>
  <c r="Y5" i="121" s="1"/>
  <c r="Z5" i="121" s="1"/>
  <c r="F5" i="121"/>
  <c r="E5" i="121"/>
  <c r="L5" i="121" s="1"/>
  <c r="V4" i="121"/>
  <c r="Y4" i="121" s="1"/>
  <c r="Z4" i="121" s="1"/>
  <c r="F4" i="121"/>
  <c r="F15" i="121" s="1"/>
  <c r="E4" i="121"/>
  <c r="L4" i="121" s="1"/>
  <c r="U15" i="120"/>
  <c r="T15" i="120"/>
  <c r="S15" i="120"/>
  <c r="R15" i="120"/>
  <c r="Q15" i="120"/>
  <c r="P15" i="120"/>
  <c r="O15" i="120"/>
  <c r="N15" i="120"/>
  <c r="M15" i="120"/>
  <c r="K15" i="120"/>
  <c r="J15" i="120"/>
  <c r="G15" i="120"/>
  <c r="D15" i="120"/>
  <c r="C15" i="120"/>
  <c r="V14" i="120"/>
  <c r="Y14" i="120" s="1"/>
  <c r="Z14" i="120" s="1"/>
  <c r="E14" i="120"/>
  <c r="L14" i="120" s="1"/>
  <c r="Y13" i="120"/>
  <c r="Z13" i="120" s="1"/>
  <c r="W13" i="120"/>
  <c r="L13" i="120"/>
  <c r="E13" i="120"/>
  <c r="V12" i="120"/>
  <c r="Y12" i="120" s="1"/>
  <c r="Z12" i="120" s="1"/>
  <c r="E12" i="120"/>
  <c r="L12" i="120" s="1"/>
  <c r="V11" i="120"/>
  <c r="Y11" i="120" s="1"/>
  <c r="Z11" i="120" s="1"/>
  <c r="E11" i="120"/>
  <c r="L11" i="120" s="1"/>
  <c r="V10" i="120"/>
  <c r="Y10" i="120" s="1"/>
  <c r="Z10" i="120" s="1"/>
  <c r="E10" i="120"/>
  <c r="L10" i="120" s="1"/>
  <c r="V9" i="120"/>
  <c r="Y9" i="120" s="1"/>
  <c r="Z9" i="120" s="1"/>
  <c r="L9" i="120"/>
  <c r="E9" i="120"/>
  <c r="V8" i="120"/>
  <c r="Y8" i="120" s="1"/>
  <c r="Z8" i="120" s="1"/>
  <c r="E8" i="120"/>
  <c r="L8" i="120" s="1"/>
  <c r="V7" i="120"/>
  <c r="Y7" i="120" s="1"/>
  <c r="Z7" i="120" s="1"/>
  <c r="E7" i="120"/>
  <c r="L7" i="120" s="1"/>
  <c r="V6" i="120"/>
  <c r="Y6" i="120" s="1"/>
  <c r="Z6" i="120" s="1"/>
  <c r="E6" i="120"/>
  <c r="L6" i="120" s="1"/>
  <c r="V5" i="120"/>
  <c r="Y5" i="120" s="1"/>
  <c r="Z5" i="120" s="1"/>
  <c r="F5" i="120"/>
  <c r="E5" i="120"/>
  <c r="L5" i="120" s="1"/>
  <c r="V4" i="120"/>
  <c r="W4" i="120" s="1"/>
  <c r="F4" i="120"/>
  <c r="F15" i="120" s="1"/>
  <c r="E4" i="120"/>
  <c r="L4" i="120" s="1"/>
  <c r="W13" i="119"/>
  <c r="V14" i="119"/>
  <c r="Y14" i="119" s="1"/>
  <c r="Z14" i="119" s="1"/>
  <c r="Y13" i="119"/>
  <c r="Z13" i="119" s="1"/>
  <c r="E13" i="119"/>
  <c r="L13" i="119" s="1"/>
  <c r="U15" i="119"/>
  <c r="T15" i="119"/>
  <c r="S15" i="119"/>
  <c r="R15" i="119"/>
  <c r="Q15" i="119"/>
  <c r="P15" i="119"/>
  <c r="O15" i="119"/>
  <c r="N15" i="119"/>
  <c r="M15" i="119"/>
  <c r="K15" i="119"/>
  <c r="J15" i="119"/>
  <c r="G15" i="119"/>
  <c r="D15" i="119"/>
  <c r="C15" i="119"/>
  <c r="E14" i="119"/>
  <c r="L14" i="119" s="1"/>
  <c r="V12" i="119"/>
  <c r="Y12" i="119" s="1"/>
  <c r="Z12" i="119" s="1"/>
  <c r="E12" i="119"/>
  <c r="L12" i="119" s="1"/>
  <c r="V11" i="119"/>
  <c r="Y11" i="119" s="1"/>
  <c r="Z11" i="119" s="1"/>
  <c r="E11" i="119"/>
  <c r="L11" i="119" s="1"/>
  <c r="V10" i="119"/>
  <c r="Y10" i="119" s="1"/>
  <c r="Z10" i="119" s="1"/>
  <c r="E10" i="119"/>
  <c r="L10" i="119" s="1"/>
  <c r="V9" i="119"/>
  <c r="Y9" i="119" s="1"/>
  <c r="Z9" i="119" s="1"/>
  <c r="E9" i="119"/>
  <c r="L9" i="119" s="1"/>
  <c r="V8" i="119"/>
  <c r="Y8" i="119" s="1"/>
  <c r="Z8" i="119" s="1"/>
  <c r="E8" i="119"/>
  <c r="L8" i="119" s="1"/>
  <c r="V7" i="119"/>
  <c r="Y7" i="119" s="1"/>
  <c r="Z7" i="119" s="1"/>
  <c r="E7" i="119"/>
  <c r="L7" i="119" s="1"/>
  <c r="V6" i="119"/>
  <c r="Y6" i="119" s="1"/>
  <c r="Z6" i="119" s="1"/>
  <c r="E6" i="119"/>
  <c r="L6" i="119" s="1"/>
  <c r="V5" i="119"/>
  <c r="Y5" i="119" s="1"/>
  <c r="Z5" i="119" s="1"/>
  <c r="F5" i="119"/>
  <c r="I5" i="119" s="1"/>
  <c r="E5" i="119"/>
  <c r="L5" i="119" s="1"/>
  <c r="V4" i="119"/>
  <c r="Y4" i="119" s="1"/>
  <c r="F4" i="119"/>
  <c r="E4" i="119"/>
  <c r="L4" i="119" s="1"/>
  <c r="U14" i="118"/>
  <c r="T14" i="118"/>
  <c r="S14" i="118"/>
  <c r="R14" i="118"/>
  <c r="Q14" i="118"/>
  <c r="P14" i="118"/>
  <c r="O14" i="118"/>
  <c r="N14" i="118"/>
  <c r="M14" i="118"/>
  <c r="K14" i="118"/>
  <c r="J14" i="118"/>
  <c r="G14" i="118"/>
  <c r="D14" i="118"/>
  <c r="C14" i="118"/>
  <c r="Y13" i="118"/>
  <c r="Z13" i="118" s="1"/>
  <c r="W13" i="118"/>
  <c r="E13" i="118"/>
  <c r="L13" i="118" s="1"/>
  <c r="V12" i="118"/>
  <c r="Y12" i="118" s="1"/>
  <c r="Z12" i="118" s="1"/>
  <c r="E12" i="118"/>
  <c r="L12" i="118" s="1"/>
  <c r="V11" i="118"/>
  <c r="Y11" i="118" s="1"/>
  <c r="Z11" i="118" s="1"/>
  <c r="L11" i="118"/>
  <c r="E11" i="118"/>
  <c r="V10" i="118"/>
  <c r="Y10" i="118" s="1"/>
  <c r="Z10" i="118" s="1"/>
  <c r="E10" i="118"/>
  <c r="L10" i="118" s="1"/>
  <c r="V9" i="118"/>
  <c r="Y9" i="118" s="1"/>
  <c r="Z9" i="118" s="1"/>
  <c r="E9" i="118"/>
  <c r="L9" i="118" s="1"/>
  <c r="V8" i="118"/>
  <c r="Y8" i="118" s="1"/>
  <c r="Z8" i="118" s="1"/>
  <c r="L8" i="118"/>
  <c r="E8" i="118"/>
  <c r="V7" i="118"/>
  <c r="Y7" i="118" s="1"/>
  <c r="Z7" i="118" s="1"/>
  <c r="E7" i="118"/>
  <c r="L7" i="118" s="1"/>
  <c r="V6" i="118"/>
  <c r="Y6" i="118" s="1"/>
  <c r="Z6" i="118" s="1"/>
  <c r="E6" i="118"/>
  <c r="L6" i="118" s="1"/>
  <c r="V5" i="118"/>
  <c r="Y5" i="118" s="1"/>
  <c r="Z5" i="118" s="1"/>
  <c r="L5" i="118"/>
  <c r="F5" i="118"/>
  <c r="E5" i="118"/>
  <c r="I5" i="118" s="1"/>
  <c r="V4" i="118"/>
  <c r="Y4" i="118" s="1"/>
  <c r="L4" i="118"/>
  <c r="F4" i="118"/>
  <c r="F14" i="118" s="1"/>
  <c r="E4" i="118"/>
  <c r="E14" i="118" s="1"/>
  <c r="U14" i="117"/>
  <c r="T14" i="117"/>
  <c r="S14" i="117"/>
  <c r="R14" i="117"/>
  <c r="Q14" i="117"/>
  <c r="P14" i="117"/>
  <c r="O14" i="117"/>
  <c r="N14" i="117"/>
  <c r="M14" i="117"/>
  <c r="K14" i="117"/>
  <c r="J14" i="117"/>
  <c r="G14" i="117"/>
  <c r="D14" i="117"/>
  <c r="C14" i="117"/>
  <c r="Y13" i="117"/>
  <c r="Z13" i="117" s="1"/>
  <c r="W13" i="117"/>
  <c r="E13" i="117"/>
  <c r="L13" i="117" s="1"/>
  <c r="V12" i="117"/>
  <c r="Y12" i="117" s="1"/>
  <c r="Z12" i="117" s="1"/>
  <c r="E12" i="117"/>
  <c r="L12" i="117" s="1"/>
  <c r="V11" i="117"/>
  <c r="W11" i="117" s="1"/>
  <c r="E11" i="117"/>
  <c r="L11" i="117" s="1"/>
  <c r="V10" i="117"/>
  <c r="W10" i="117" s="1"/>
  <c r="E10" i="117"/>
  <c r="L10" i="117" s="1"/>
  <c r="V9" i="117"/>
  <c r="Y9" i="117" s="1"/>
  <c r="Z9" i="117" s="1"/>
  <c r="E9" i="117"/>
  <c r="L9" i="117" s="1"/>
  <c r="V8" i="117"/>
  <c r="Y8" i="117" s="1"/>
  <c r="Z8" i="117" s="1"/>
  <c r="E8" i="117"/>
  <c r="L8" i="117" s="1"/>
  <c r="V7" i="117"/>
  <c r="W7" i="117" s="1"/>
  <c r="L7" i="117"/>
  <c r="E7" i="117"/>
  <c r="V6" i="117"/>
  <c r="W6" i="117" s="1"/>
  <c r="E6" i="117"/>
  <c r="L6" i="117" s="1"/>
  <c r="V5" i="117"/>
  <c r="Y5" i="117" s="1"/>
  <c r="Z5" i="117" s="1"/>
  <c r="F5" i="117"/>
  <c r="E5" i="117"/>
  <c r="L5" i="117" s="1"/>
  <c r="V4" i="117"/>
  <c r="Y4" i="117" s="1"/>
  <c r="F4" i="117"/>
  <c r="F14" i="117" s="1"/>
  <c r="E4" i="117"/>
  <c r="E14" i="117" s="1"/>
  <c r="U14" i="116"/>
  <c r="T14" i="116"/>
  <c r="S14" i="116"/>
  <c r="R14" i="116"/>
  <c r="Q14" i="116"/>
  <c r="P14" i="116"/>
  <c r="O14" i="116"/>
  <c r="N14" i="116"/>
  <c r="M14" i="116"/>
  <c r="K14" i="116"/>
  <c r="J14" i="116"/>
  <c r="G14" i="116"/>
  <c r="D14" i="116"/>
  <c r="C14" i="116"/>
  <c r="W13" i="116"/>
  <c r="E13" i="116"/>
  <c r="L13" i="116" s="1"/>
  <c r="V12" i="116"/>
  <c r="Y12" i="116" s="1"/>
  <c r="Z12" i="116" s="1"/>
  <c r="E12" i="116"/>
  <c r="L12" i="116" s="1"/>
  <c r="V11" i="116"/>
  <c r="Y11" i="116" s="1"/>
  <c r="Z11" i="116" s="1"/>
  <c r="L11" i="116"/>
  <c r="E11" i="116"/>
  <c r="V10" i="116"/>
  <c r="Y10" i="116" s="1"/>
  <c r="Z10" i="116" s="1"/>
  <c r="E10" i="116"/>
  <c r="L10" i="116" s="1"/>
  <c r="V9" i="116"/>
  <c r="Y9" i="116" s="1"/>
  <c r="Z9" i="116" s="1"/>
  <c r="E9" i="116"/>
  <c r="L9" i="116" s="1"/>
  <c r="V8" i="116"/>
  <c r="W8" i="116" s="1"/>
  <c r="E8" i="116"/>
  <c r="L8" i="116" s="1"/>
  <c r="V7" i="116"/>
  <c r="W7" i="116" s="1"/>
  <c r="E7" i="116"/>
  <c r="L7" i="116" s="1"/>
  <c r="V6" i="116"/>
  <c r="Y6" i="116" s="1"/>
  <c r="Z6" i="116" s="1"/>
  <c r="E6" i="116"/>
  <c r="L6" i="116" s="1"/>
  <c r="V5" i="116"/>
  <c r="Y5" i="116" s="1"/>
  <c r="Z5" i="116" s="1"/>
  <c r="L5" i="116"/>
  <c r="I5" i="116"/>
  <c r="F5" i="116"/>
  <c r="E5" i="116"/>
  <c r="H5" i="116" s="1"/>
  <c r="V4" i="116"/>
  <c r="Y4" i="116" s="1"/>
  <c r="L4" i="116"/>
  <c r="F4" i="116"/>
  <c r="F14" i="116" s="1"/>
  <c r="E4" i="116"/>
  <c r="E14" i="116" s="1"/>
  <c r="U14" i="115"/>
  <c r="T14" i="115"/>
  <c r="S14" i="115"/>
  <c r="R14" i="115"/>
  <c r="Q14" i="115"/>
  <c r="P14" i="115"/>
  <c r="O14" i="115"/>
  <c r="N14" i="115"/>
  <c r="M14" i="115"/>
  <c r="K14" i="115"/>
  <c r="J14" i="115"/>
  <c r="G14" i="115"/>
  <c r="D14" i="115"/>
  <c r="C14" i="115"/>
  <c r="V13" i="115"/>
  <c r="W13" i="115" s="1"/>
  <c r="E13" i="115"/>
  <c r="L13" i="115" s="1"/>
  <c r="V12" i="115"/>
  <c r="W12" i="115" s="1"/>
  <c r="E12" i="115"/>
  <c r="L12" i="115" s="1"/>
  <c r="V11" i="115"/>
  <c r="Y11" i="115" s="1"/>
  <c r="Z11" i="115" s="1"/>
  <c r="E11" i="115"/>
  <c r="L11" i="115" s="1"/>
  <c r="V10" i="115"/>
  <c r="Y10" i="115" s="1"/>
  <c r="Z10" i="115" s="1"/>
  <c r="E10" i="115"/>
  <c r="L10" i="115" s="1"/>
  <c r="Y9" i="115"/>
  <c r="Z9" i="115" s="1"/>
  <c r="V9" i="115"/>
  <c r="W9" i="115" s="1"/>
  <c r="E9" i="115"/>
  <c r="L9" i="115" s="1"/>
  <c r="V8" i="115"/>
  <c r="W8" i="115" s="1"/>
  <c r="E8" i="115"/>
  <c r="L8" i="115" s="1"/>
  <c r="V7" i="115"/>
  <c r="W7" i="115" s="1"/>
  <c r="E7" i="115"/>
  <c r="L7" i="115" s="1"/>
  <c r="Y6" i="115"/>
  <c r="Z6" i="115" s="1"/>
  <c r="W6" i="115"/>
  <c r="F6" i="115"/>
  <c r="E6" i="115"/>
  <c r="I6" i="115" s="1"/>
  <c r="V5" i="115"/>
  <c r="F5" i="115"/>
  <c r="H5" i="115" s="1"/>
  <c r="E5" i="115"/>
  <c r="L5" i="115" s="1"/>
  <c r="V4" i="115"/>
  <c r="Y4" i="115" s="1"/>
  <c r="I4" i="115"/>
  <c r="H4" i="115"/>
  <c r="F4" i="115"/>
  <c r="E4" i="115"/>
  <c r="E14" i="115" s="1"/>
  <c r="V13" i="114"/>
  <c r="Y13" i="114" s="1"/>
  <c r="Z13" i="114" s="1"/>
  <c r="V12" i="114"/>
  <c r="W12" i="114" s="1"/>
  <c r="E12" i="114"/>
  <c r="L12" i="114" s="1"/>
  <c r="U14" i="114"/>
  <c r="T14" i="114"/>
  <c r="S14" i="114"/>
  <c r="R14" i="114"/>
  <c r="Q14" i="114"/>
  <c r="P14" i="114"/>
  <c r="O14" i="114"/>
  <c r="N14" i="114"/>
  <c r="M14" i="114"/>
  <c r="K14" i="114"/>
  <c r="J14" i="114"/>
  <c r="G14" i="114"/>
  <c r="D14" i="114"/>
  <c r="C14" i="114"/>
  <c r="L13" i="114"/>
  <c r="E13" i="114"/>
  <c r="V11" i="114"/>
  <c r="W11" i="114" s="1"/>
  <c r="E11" i="114"/>
  <c r="L11" i="114" s="1"/>
  <c r="V10" i="114"/>
  <c r="Y10" i="114" s="1"/>
  <c r="Z10" i="114" s="1"/>
  <c r="E10" i="114"/>
  <c r="L10" i="114" s="1"/>
  <c r="V9" i="114"/>
  <c r="Y9" i="114" s="1"/>
  <c r="Z9" i="114" s="1"/>
  <c r="E9" i="114"/>
  <c r="L9" i="114" s="1"/>
  <c r="V8" i="114"/>
  <c r="W8" i="114" s="1"/>
  <c r="E8" i="114"/>
  <c r="L8" i="114" s="1"/>
  <c r="V7" i="114"/>
  <c r="W7" i="114" s="1"/>
  <c r="E7" i="114"/>
  <c r="L7" i="114" s="1"/>
  <c r="V6" i="114"/>
  <c r="Y6" i="114" s="1"/>
  <c r="Z6" i="114" s="1"/>
  <c r="E6" i="114"/>
  <c r="L6" i="114" s="1"/>
  <c r="V5" i="114"/>
  <c r="W5" i="114" s="1"/>
  <c r="L5" i="114"/>
  <c r="F5" i="114"/>
  <c r="E5" i="114"/>
  <c r="V4" i="114"/>
  <c r="F4" i="114"/>
  <c r="E4" i="114"/>
  <c r="I4" i="114" s="1"/>
  <c r="U13" i="113"/>
  <c r="T13" i="113"/>
  <c r="S13" i="113"/>
  <c r="R13" i="113"/>
  <c r="Q13" i="113"/>
  <c r="P13" i="113"/>
  <c r="O13" i="113"/>
  <c r="N13" i="113"/>
  <c r="M13" i="113"/>
  <c r="K13" i="113"/>
  <c r="J13" i="113"/>
  <c r="G13" i="113"/>
  <c r="D13" i="113"/>
  <c r="C13" i="113"/>
  <c r="V12" i="113"/>
  <c r="Y12" i="113" s="1"/>
  <c r="Z12" i="113" s="1"/>
  <c r="E12" i="113"/>
  <c r="L12" i="113" s="1"/>
  <c r="V11" i="113"/>
  <c r="W11" i="113" s="1"/>
  <c r="E11" i="113"/>
  <c r="L11" i="113" s="1"/>
  <c r="V10" i="113"/>
  <c r="Y10" i="113" s="1"/>
  <c r="Z10" i="113" s="1"/>
  <c r="E10" i="113"/>
  <c r="L10" i="113" s="1"/>
  <c r="V9" i="113"/>
  <c r="W9" i="113" s="1"/>
  <c r="E9" i="113"/>
  <c r="L9" i="113" s="1"/>
  <c r="V8" i="113"/>
  <c r="Y8" i="113" s="1"/>
  <c r="Z8" i="113" s="1"/>
  <c r="E8" i="113"/>
  <c r="L8" i="113" s="1"/>
  <c r="V7" i="113"/>
  <c r="W7" i="113" s="1"/>
  <c r="E7" i="113"/>
  <c r="L7" i="113" s="1"/>
  <c r="V6" i="113"/>
  <c r="Y6" i="113" s="1"/>
  <c r="Z6" i="113" s="1"/>
  <c r="E6" i="113"/>
  <c r="L6" i="113" s="1"/>
  <c r="V5" i="113"/>
  <c r="W5" i="113" s="1"/>
  <c r="F5" i="113"/>
  <c r="E5" i="113"/>
  <c r="H5" i="113" s="1"/>
  <c r="V4" i="113"/>
  <c r="F4" i="113"/>
  <c r="E4" i="113"/>
  <c r="L4" i="113" s="1"/>
  <c r="U14" i="112"/>
  <c r="T14" i="112"/>
  <c r="S14" i="112"/>
  <c r="R14" i="112"/>
  <c r="Q14" i="112"/>
  <c r="P14" i="112"/>
  <c r="O14" i="112"/>
  <c r="N14" i="112"/>
  <c r="M14" i="112"/>
  <c r="K14" i="112"/>
  <c r="J14" i="112"/>
  <c r="G14" i="112"/>
  <c r="D14" i="112"/>
  <c r="C14" i="112"/>
  <c r="V13" i="112"/>
  <c r="W13" i="112" s="1"/>
  <c r="E13" i="112"/>
  <c r="L13" i="112" s="1"/>
  <c r="V12" i="112"/>
  <c r="W12" i="112" s="1"/>
  <c r="E12" i="112"/>
  <c r="L12" i="112" s="1"/>
  <c r="V11" i="112"/>
  <c r="Y11" i="112" s="1"/>
  <c r="Z11" i="112" s="1"/>
  <c r="E11" i="112"/>
  <c r="L11" i="112" s="1"/>
  <c r="V10" i="112"/>
  <c r="Y10" i="112" s="1"/>
  <c r="Z10" i="112" s="1"/>
  <c r="E10" i="112"/>
  <c r="L10" i="112" s="1"/>
  <c r="V9" i="112"/>
  <c r="Y9" i="112" s="1"/>
  <c r="Z9" i="112" s="1"/>
  <c r="E9" i="112"/>
  <c r="L9" i="112" s="1"/>
  <c r="V8" i="112"/>
  <c r="W8" i="112" s="1"/>
  <c r="E8" i="112"/>
  <c r="L8" i="112" s="1"/>
  <c r="V7" i="112"/>
  <c r="Y7" i="112" s="1"/>
  <c r="Z7" i="112" s="1"/>
  <c r="E7" i="112"/>
  <c r="L7" i="112" s="1"/>
  <c r="Y6" i="112"/>
  <c r="Z6" i="112" s="1"/>
  <c r="W6" i="112"/>
  <c r="F6" i="112"/>
  <c r="E6" i="112"/>
  <c r="L6" i="112" s="1"/>
  <c r="V5" i="112"/>
  <c r="Y5" i="112" s="1"/>
  <c r="Z5" i="112" s="1"/>
  <c r="F5" i="112"/>
  <c r="E5" i="112"/>
  <c r="H5" i="112" s="1"/>
  <c r="V4" i="112"/>
  <c r="W4" i="112" s="1"/>
  <c r="L4" i="112"/>
  <c r="F4" i="112"/>
  <c r="F14" i="112" s="1"/>
  <c r="E4" i="112"/>
  <c r="U14" i="111"/>
  <c r="S14" i="111"/>
  <c r="R14" i="111"/>
  <c r="Q14" i="111"/>
  <c r="P14" i="111"/>
  <c r="O14" i="111"/>
  <c r="N14" i="111"/>
  <c r="M14" i="111"/>
  <c r="K14" i="111"/>
  <c r="J14" i="111"/>
  <c r="G14" i="111"/>
  <c r="D14" i="111"/>
  <c r="C14" i="111"/>
  <c r="V13" i="111"/>
  <c r="Y13" i="111" s="1"/>
  <c r="Z13" i="111" s="1"/>
  <c r="E13" i="111"/>
  <c r="L13" i="111" s="1"/>
  <c r="V12" i="111"/>
  <c r="W12" i="111" s="1"/>
  <c r="E12" i="111"/>
  <c r="L12" i="111" s="1"/>
  <c r="V11" i="111"/>
  <c r="Y11" i="111" s="1"/>
  <c r="Z11" i="111" s="1"/>
  <c r="E11" i="111"/>
  <c r="L11" i="111" s="1"/>
  <c r="V10" i="111"/>
  <c r="Y10" i="111" s="1"/>
  <c r="Z10" i="111" s="1"/>
  <c r="E10" i="111"/>
  <c r="L10" i="111" s="1"/>
  <c r="V9" i="111"/>
  <c r="Y9" i="111" s="1"/>
  <c r="Z9" i="111" s="1"/>
  <c r="E9" i="111"/>
  <c r="L9" i="111" s="1"/>
  <c r="V8" i="111"/>
  <c r="L8" i="111"/>
  <c r="E8" i="111"/>
  <c r="V7" i="111"/>
  <c r="Y7" i="111" s="1"/>
  <c r="Z7" i="111" s="1"/>
  <c r="E7" i="111"/>
  <c r="L7" i="111" s="1"/>
  <c r="Z6" i="111"/>
  <c r="Y6" i="111"/>
  <c r="W6" i="111"/>
  <c r="F6" i="111"/>
  <c r="E6" i="111"/>
  <c r="H6" i="111" s="1"/>
  <c r="V5" i="111"/>
  <c r="Y5" i="111" s="1"/>
  <c r="Z5" i="111" s="1"/>
  <c r="F5" i="111"/>
  <c r="E5" i="111"/>
  <c r="I5" i="111" s="1"/>
  <c r="V4" i="111"/>
  <c r="F4" i="111"/>
  <c r="E4" i="111"/>
  <c r="L4" i="111" s="1"/>
  <c r="T8" i="110"/>
  <c r="AA14" i="140" l="1"/>
  <c r="AA14" i="138"/>
  <c r="AA15" i="136"/>
  <c r="AA15" i="134"/>
  <c r="AA15" i="133"/>
  <c r="AA15" i="132"/>
  <c r="AA15" i="131"/>
  <c r="AA15" i="130"/>
  <c r="AA15" i="129"/>
  <c r="AA15" i="128"/>
  <c r="AA15" i="127"/>
  <c r="AA15" i="126"/>
  <c r="L14" i="118"/>
  <c r="W13" i="111"/>
  <c r="H4" i="112"/>
  <c r="H14" i="112" s="1"/>
  <c r="F14" i="114"/>
  <c r="W12" i="118"/>
  <c r="F15" i="119"/>
  <c r="I4" i="122"/>
  <c r="I15" i="122" s="1"/>
  <c r="H4" i="123"/>
  <c r="Y8" i="124"/>
  <c r="Z8" i="124" s="1"/>
  <c r="AC8" i="125" s="1"/>
  <c r="X8" i="125"/>
  <c r="Y6" i="124"/>
  <c r="Z6" i="124" s="1"/>
  <c r="AC6" i="125" s="1"/>
  <c r="X6" i="125"/>
  <c r="Y10" i="124"/>
  <c r="Z10" i="124" s="1"/>
  <c r="AC10" i="125" s="1"/>
  <c r="X10" i="125"/>
  <c r="Y12" i="124"/>
  <c r="Z12" i="124" s="1"/>
  <c r="AC12" i="125" s="1"/>
  <c r="X12" i="125"/>
  <c r="I4" i="111"/>
  <c r="I5" i="112"/>
  <c r="H6" i="112"/>
  <c r="F13" i="113"/>
  <c r="W9" i="120"/>
  <c r="L4" i="122"/>
  <c r="Y10" i="122"/>
  <c r="Z10" i="122" s="1"/>
  <c r="I4" i="123"/>
  <c r="H5" i="123"/>
  <c r="W9" i="123"/>
  <c r="H4" i="111"/>
  <c r="I4" i="112"/>
  <c r="H5" i="114"/>
  <c r="H4" i="116"/>
  <c r="H14" i="116" s="1"/>
  <c r="Y7" i="116"/>
  <c r="Z7" i="116" s="1"/>
  <c r="L4" i="117"/>
  <c r="I5" i="117"/>
  <c r="E15" i="123"/>
  <c r="L4" i="123"/>
  <c r="L15" i="123" s="1"/>
  <c r="I5" i="123"/>
  <c r="Y5" i="124"/>
  <c r="Z5" i="124" s="1"/>
  <c r="AC5" i="125" s="1"/>
  <c r="X5" i="125"/>
  <c r="X15" i="125" s="1"/>
  <c r="Y7" i="124"/>
  <c r="Z7" i="124" s="1"/>
  <c r="AC7" i="125" s="1"/>
  <c r="X7" i="125"/>
  <c r="Y9" i="124"/>
  <c r="Z9" i="124" s="1"/>
  <c r="AC9" i="125" s="1"/>
  <c r="X9" i="125"/>
  <c r="Y11" i="124"/>
  <c r="Z11" i="124" s="1"/>
  <c r="AC11" i="125" s="1"/>
  <c r="X11" i="125"/>
  <c r="W14" i="124"/>
  <c r="X14" i="125"/>
  <c r="AB15" i="125"/>
  <c r="U21" i="125" s="1"/>
  <c r="F15" i="124"/>
  <c r="E15" i="124"/>
  <c r="Y14" i="124"/>
  <c r="Z14" i="124" s="1"/>
  <c r="AC14" i="125" s="1"/>
  <c r="V15" i="124"/>
  <c r="T20" i="125" s="1"/>
  <c r="V20" i="125" s="1"/>
  <c r="W5" i="124"/>
  <c r="W6" i="124"/>
  <c r="W7" i="124"/>
  <c r="W8" i="124"/>
  <c r="W9" i="124"/>
  <c r="W10" i="124"/>
  <c r="W11" i="124"/>
  <c r="W12" i="124"/>
  <c r="I4" i="124"/>
  <c r="Y4" i="124"/>
  <c r="H5" i="124"/>
  <c r="I5" i="124"/>
  <c r="L5" i="124"/>
  <c r="L15" i="124" s="1"/>
  <c r="H4" i="124"/>
  <c r="W4" i="124"/>
  <c r="W11" i="123"/>
  <c r="W5" i="123"/>
  <c r="V15" i="123"/>
  <c r="Y4" i="123"/>
  <c r="Z4" i="123" s="1"/>
  <c r="Z15" i="123" s="1"/>
  <c r="Y15" i="123"/>
  <c r="H15" i="123"/>
  <c r="W8" i="123"/>
  <c r="W12" i="123"/>
  <c r="W7" i="123"/>
  <c r="W14" i="123"/>
  <c r="W6" i="123"/>
  <c r="W10" i="123"/>
  <c r="Y6" i="122"/>
  <c r="Z6" i="122" s="1"/>
  <c r="W12" i="122"/>
  <c r="W8" i="122"/>
  <c r="V15" i="122"/>
  <c r="L15" i="122"/>
  <c r="Y4" i="122"/>
  <c r="W5" i="122"/>
  <c r="W9" i="122"/>
  <c r="W4" i="122"/>
  <c r="H4" i="122"/>
  <c r="F15" i="122"/>
  <c r="H5" i="122"/>
  <c r="W7" i="122"/>
  <c r="W11" i="122"/>
  <c r="I5" i="122"/>
  <c r="W14" i="122"/>
  <c r="W7" i="121"/>
  <c r="W11" i="121"/>
  <c r="V15" i="121"/>
  <c r="W5" i="121"/>
  <c r="W4" i="121"/>
  <c r="L15" i="121"/>
  <c r="H4" i="121"/>
  <c r="Y8" i="121"/>
  <c r="Z8" i="121" s="1"/>
  <c r="Y12" i="121"/>
  <c r="Z12" i="121" s="1"/>
  <c r="Z15" i="121" s="1"/>
  <c r="I4" i="121"/>
  <c r="H5" i="121"/>
  <c r="E15" i="121"/>
  <c r="I5" i="121"/>
  <c r="W14" i="121"/>
  <c r="W6" i="121"/>
  <c r="W10" i="121"/>
  <c r="W5" i="120"/>
  <c r="W12" i="120"/>
  <c r="W10" i="120"/>
  <c r="W8" i="120"/>
  <c r="W6" i="120"/>
  <c r="L15" i="120"/>
  <c r="Y4" i="120"/>
  <c r="V15" i="120"/>
  <c r="I4" i="120"/>
  <c r="H5" i="120"/>
  <c r="W7" i="120"/>
  <c r="W11" i="120"/>
  <c r="I5" i="120"/>
  <c r="W14" i="120"/>
  <c r="E15" i="120"/>
  <c r="H4" i="120"/>
  <c r="W14" i="119"/>
  <c r="W5" i="119"/>
  <c r="W4" i="119"/>
  <c r="W9" i="119"/>
  <c r="V15" i="119"/>
  <c r="L15" i="119"/>
  <c r="Y15" i="119"/>
  <c r="W8" i="119"/>
  <c r="W12" i="119"/>
  <c r="H4" i="119"/>
  <c r="I4" i="119"/>
  <c r="I15" i="119" s="1"/>
  <c r="H5" i="119"/>
  <c r="W7" i="119"/>
  <c r="W11" i="119"/>
  <c r="E15" i="119"/>
  <c r="Z4" i="119"/>
  <c r="Z15" i="119" s="1"/>
  <c r="W6" i="119"/>
  <c r="W10" i="119"/>
  <c r="W6" i="118"/>
  <c r="W10" i="118"/>
  <c r="W9" i="118"/>
  <c r="W8" i="118"/>
  <c r="W5" i="118"/>
  <c r="Z4" i="118"/>
  <c r="Z14" i="118" s="1"/>
  <c r="Y14" i="118"/>
  <c r="H4" i="118"/>
  <c r="I4" i="118"/>
  <c r="I14" i="118" s="1"/>
  <c r="H5" i="118"/>
  <c r="W7" i="118"/>
  <c r="W11" i="118"/>
  <c r="V14" i="118"/>
  <c r="W4" i="118"/>
  <c r="W12" i="117"/>
  <c r="Y11" i="117"/>
  <c r="Z11" i="117" s="1"/>
  <c r="W8" i="117"/>
  <c r="Y7" i="117"/>
  <c r="Z7" i="117" s="1"/>
  <c r="V14" i="117"/>
  <c r="L14" i="117"/>
  <c r="Z4" i="117"/>
  <c r="H4" i="117"/>
  <c r="H14" i="117" s="1"/>
  <c r="I4" i="117"/>
  <c r="I14" i="117" s="1"/>
  <c r="H5" i="117"/>
  <c r="W4" i="117"/>
  <c r="Y6" i="117"/>
  <c r="Z6" i="117" s="1"/>
  <c r="Y10" i="117"/>
  <c r="Z10" i="117" s="1"/>
  <c r="W5" i="117"/>
  <c r="W9" i="117"/>
  <c r="Y13" i="116"/>
  <c r="Z13" i="116" s="1"/>
  <c r="W11" i="116"/>
  <c r="W12" i="116"/>
  <c r="W4" i="116"/>
  <c r="L14" i="116"/>
  <c r="Z4" i="116"/>
  <c r="Y8" i="116"/>
  <c r="Z8" i="116" s="1"/>
  <c r="I4" i="116"/>
  <c r="I14" i="116" s="1"/>
  <c r="W6" i="116"/>
  <c r="W10" i="116"/>
  <c r="V14" i="116"/>
  <c r="W5" i="116"/>
  <c r="W9" i="116"/>
  <c r="W4" i="115"/>
  <c r="Y7" i="115"/>
  <c r="Z7" i="115" s="1"/>
  <c r="Y13" i="115"/>
  <c r="Z13" i="115" s="1"/>
  <c r="W11" i="115"/>
  <c r="V14" i="115"/>
  <c r="L6" i="115"/>
  <c r="W5" i="115"/>
  <c r="W10" i="115"/>
  <c r="F14" i="115"/>
  <c r="L4" i="115"/>
  <c r="L14" i="115" s="1"/>
  <c r="Z4" i="115"/>
  <c r="I5" i="115"/>
  <c r="I14" i="115" s="1"/>
  <c r="Y5" i="115"/>
  <c r="Z5" i="115" s="1"/>
  <c r="H6" i="115"/>
  <c r="H14" i="115" s="1"/>
  <c r="Y8" i="115"/>
  <c r="Z8" i="115" s="1"/>
  <c r="Y12" i="115"/>
  <c r="Z12" i="115" s="1"/>
  <c r="Y12" i="114"/>
  <c r="Z12" i="114" s="1"/>
  <c r="W10" i="114"/>
  <c r="W9" i="114"/>
  <c r="Y5" i="114"/>
  <c r="Z5" i="114" s="1"/>
  <c r="W6" i="114"/>
  <c r="V14" i="114"/>
  <c r="Y8" i="114"/>
  <c r="Z8" i="114" s="1"/>
  <c r="L4" i="114"/>
  <c r="L14" i="114" s="1"/>
  <c r="I5" i="114"/>
  <c r="I14" i="114" s="1"/>
  <c r="Y7" i="114"/>
  <c r="Z7" i="114" s="1"/>
  <c r="Y11" i="114"/>
  <c r="Z11" i="114" s="1"/>
  <c r="W4" i="114"/>
  <c r="E14" i="114"/>
  <c r="Y4" i="114"/>
  <c r="W13" i="114"/>
  <c r="H4" i="114"/>
  <c r="H14" i="114" s="1"/>
  <c r="Y5" i="113"/>
  <c r="Z5" i="113" s="1"/>
  <c r="V13" i="113"/>
  <c r="Y9" i="113"/>
  <c r="Z9" i="113" s="1"/>
  <c r="W4" i="113"/>
  <c r="Y7" i="113"/>
  <c r="Z7" i="113" s="1"/>
  <c r="I5" i="113"/>
  <c r="I4" i="113"/>
  <c r="Y11" i="113"/>
  <c r="Z11" i="113" s="1"/>
  <c r="I13" i="113"/>
  <c r="L5" i="113"/>
  <c r="L13" i="113" s="1"/>
  <c r="W6" i="113"/>
  <c r="W10" i="113"/>
  <c r="E13" i="113"/>
  <c r="Y4" i="113"/>
  <c r="W8" i="113"/>
  <c r="W12" i="113"/>
  <c r="H4" i="113"/>
  <c r="H13" i="113" s="1"/>
  <c r="Y13" i="112"/>
  <c r="Z13" i="112" s="1"/>
  <c r="Y12" i="112"/>
  <c r="Z12" i="112" s="1"/>
  <c r="Y8" i="112"/>
  <c r="Z8" i="112" s="1"/>
  <c r="Y4" i="112"/>
  <c r="Z4" i="112" s="1"/>
  <c r="L5" i="112"/>
  <c r="L14" i="112" s="1"/>
  <c r="I6" i="112"/>
  <c r="I14" i="112" s="1"/>
  <c r="W7" i="112"/>
  <c r="W11" i="112"/>
  <c r="E14" i="112"/>
  <c r="W5" i="112"/>
  <c r="W10" i="112"/>
  <c r="W9" i="112"/>
  <c r="W7" i="111"/>
  <c r="W5" i="111"/>
  <c r="V14" i="111"/>
  <c r="W8" i="111"/>
  <c r="Y8" i="111"/>
  <c r="Z8" i="111" s="1"/>
  <c r="I6" i="111"/>
  <c r="I14" i="111" s="1"/>
  <c r="Y12" i="111"/>
  <c r="Z12" i="111" s="1"/>
  <c r="L5" i="111"/>
  <c r="W4" i="111"/>
  <c r="L6" i="111"/>
  <c r="W11" i="111"/>
  <c r="T14" i="111"/>
  <c r="Y4" i="111"/>
  <c r="E14" i="111"/>
  <c r="W10" i="111"/>
  <c r="F14" i="111"/>
  <c r="W9" i="111"/>
  <c r="H5" i="111"/>
  <c r="Y6" i="110"/>
  <c r="Z6" i="110" s="1"/>
  <c r="U14" i="110"/>
  <c r="T14" i="110"/>
  <c r="S14" i="110"/>
  <c r="R14" i="110"/>
  <c r="Q14" i="110"/>
  <c r="P14" i="110"/>
  <c r="O14" i="110"/>
  <c r="N14" i="110"/>
  <c r="M14" i="110"/>
  <c r="K14" i="110"/>
  <c r="J14" i="110"/>
  <c r="G14" i="110"/>
  <c r="D14" i="110"/>
  <c r="C14" i="110"/>
  <c r="V13" i="110"/>
  <c r="Y13" i="110" s="1"/>
  <c r="Z13" i="110" s="1"/>
  <c r="E13" i="110"/>
  <c r="L13" i="110" s="1"/>
  <c r="V12" i="110"/>
  <c r="W12" i="110" s="1"/>
  <c r="E12" i="110"/>
  <c r="L12" i="110" s="1"/>
  <c r="V11" i="110"/>
  <c r="W11" i="110" s="1"/>
  <c r="E11" i="110"/>
  <c r="L11" i="110" s="1"/>
  <c r="V10" i="110"/>
  <c r="W10" i="110" s="1"/>
  <c r="E10" i="110"/>
  <c r="L10" i="110" s="1"/>
  <c r="V9" i="110"/>
  <c r="Y9" i="110" s="1"/>
  <c r="Z9" i="110" s="1"/>
  <c r="E9" i="110"/>
  <c r="L9" i="110" s="1"/>
  <c r="V8" i="110"/>
  <c r="W8" i="110" s="1"/>
  <c r="E8" i="110"/>
  <c r="L8" i="110" s="1"/>
  <c r="V7" i="110"/>
  <c r="W7" i="110" s="1"/>
  <c r="E7" i="110"/>
  <c r="L7" i="110" s="1"/>
  <c r="F6" i="110"/>
  <c r="E6" i="110"/>
  <c r="I6" i="110" s="1"/>
  <c r="V5" i="110"/>
  <c r="W5" i="110" s="1"/>
  <c r="F5" i="110"/>
  <c r="E5" i="110"/>
  <c r="H5" i="110" s="1"/>
  <c r="V4" i="110"/>
  <c r="W4" i="110" s="1"/>
  <c r="F4" i="110"/>
  <c r="F14" i="110" s="1"/>
  <c r="E4" i="110"/>
  <c r="L10" i="109"/>
  <c r="L9" i="109"/>
  <c r="E13" i="109"/>
  <c r="L13" i="109" s="1"/>
  <c r="E12" i="109"/>
  <c r="L12" i="109" s="1"/>
  <c r="E11" i="109"/>
  <c r="L11" i="109" s="1"/>
  <c r="E10" i="109"/>
  <c r="E9" i="109"/>
  <c r="E8" i="109"/>
  <c r="L8" i="109" s="1"/>
  <c r="E7" i="109"/>
  <c r="L7" i="109" s="1"/>
  <c r="E6" i="109"/>
  <c r="L6" i="109" s="1"/>
  <c r="E5" i="109"/>
  <c r="L5" i="109" s="1"/>
  <c r="E4" i="109"/>
  <c r="L4" i="109" s="1"/>
  <c r="I15" i="120" l="1"/>
  <c r="H14" i="111"/>
  <c r="AD15" i="125"/>
  <c r="I4" i="110"/>
  <c r="I14" i="110" s="1"/>
  <c r="L6" i="110"/>
  <c r="L14" i="111"/>
  <c r="I15" i="123"/>
  <c r="H15" i="124"/>
  <c r="W15" i="124"/>
  <c r="Y15" i="124"/>
  <c r="Z4" i="124"/>
  <c r="I15" i="124"/>
  <c r="W15" i="123"/>
  <c r="AA15" i="123" s="1"/>
  <c r="W15" i="122"/>
  <c r="H15" i="122"/>
  <c r="Y15" i="122"/>
  <c r="Z4" i="122"/>
  <c r="Z15" i="122" s="1"/>
  <c r="W15" i="121"/>
  <c r="AA15" i="121" s="1"/>
  <c r="I15" i="121"/>
  <c r="Y15" i="121"/>
  <c r="H15" i="121"/>
  <c r="W15" i="120"/>
  <c r="H15" i="120"/>
  <c r="Y15" i="120"/>
  <c r="Z4" i="120"/>
  <c r="Z15" i="120" s="1"/>
  <c r="W15" i="119"/>
  <c r="AA15" i="119" s="1"/>
  <c r="H15" i="119"/>
  <c r="W14" i="118"/>
  <c r="AA14" i="118" s="1"/>
  <c r="H14" i="118"/>
  <c r="W14" i="117"/>
  <c r="Y14" i="117"/>
  <c r="Z14" i="117"/>
  <c r="W14" i="116"/>
  <c r="Y14" i="116"/>
  <c r="Z14" i="116"/>
  <c r="W14" i="115"/>
  <c r="Z14" i="115"/>
  <c r="Y14" i="115"/>
  <c r="W14" i="114"/>
  <c r="Y14" i="114"/>
  <c r="Z4" i="114"/>
  <c r="Z14" i="114" s="1"/>
  <c r="W13" i="113"/>
  <c r="Y13" i="113"/>
  <c r="Z4" i="113"/>
  <c r="Z13" i="113" s="1"/>
  <c r="Z14" i="112"/>
  <c r="W14" i="112"/>
  <c r="Y14" i="112"/>
  <c r="Y14" i="111"/>
  <c r="Z4" i="111"/>
  <c r="Z14" i="111" s="1"/>
  <c r="W14" i="111"/>
  <c r="E14" i="110"/>
  <c r="L4" i="110"/>
  <c r="I5" i="110"/>
  <c r="H6" i="110"/>
  <c r="Y7" i="110"/>
  <c r="Z7" i="110" s="1"/>
  <c r="Y4" i="110"/>
  <c r="Z4" i="110" s="1"/>
  <c r="W6" i="110"/>
  <c r="Y12" i="110"/>
  <c r="Z12" i="110" s="1"/>
  <c r="Y11" i="110"/>
  <c r="Z11" i="110" s="1"/>
  <c r="Y8" i="110"/>
  <c r="Z8" i="110" s="1"/>
  <c r="V14" i="110"/>
  <c r="L5" i="110"/>
  <c r="Y5" i="110"/>
  <c r="Z5" i="110" s="1"/>
  <c r="Y10" i="110"/>
  <c r="Z10" i="110" s="1"/>
  <c r="W9" i="110"/>
  <c r="W13" i="110"/>
  <c r="H4" i="110"/>
  <c r="V12" i="109"/>
  <c r="Y12" i="109" s="1"/>
  <c r="Z12" i="109" s="1"/>
  <c r="Q14" i="109"/>
  <c r="Z15" i="124" l="1"/>
  <c r="T21" i="125" s="1"/>
  <c r="V21" i="125" s="1"/>
  <c r="AC4" i="125"/>
  <c r="AC15" i="125" s="1"/>
  <c r="AA15" i="124"/>
  <c r="AA15" i="122"/>
  <c r="AA15" i="120"/>
  <c r="AA14" i="117"/>
  <c r="AA14" i="116"/>
  <c r="AA14" i="115"/>
  <c r="AA14" i="114"/>
  <c r="AA13" i="113"/>
  <c r="AA14" i="112"/>
  <c r="AA14" i="111"/>
  <c r="H14" i="110"/>
  <c r="L14" i="110"/>
  <c r="W14" i="110"/>
  <c r="Z14" i="110"/>
  <c r="Y14" i="110"/>
  <c r="W12" i="109"/>
  <c r="U14" i="109"/>
  <c r="T14" i="109"/>
  <c r="S14" i="109"/>
  <c r="R14" i="109"/>
  <c r="P14" i="109"/>
  <c r="O14" i="109"/>
  <c r="N14" i="109"/>
  <c r="M14" i="109"/>
  <c r="L14" i="109"/>
  <c r="K14" i="109"/>
  <c r="J14" i="109"/>
  <c r="G14" i="109"/>
  <c r="D14" i="109"/>
  <c r="C14" i="109"/>
  <c r="V13" i="109"/>
  <c r="Y13" i="109" s="1"/>
  <c r="Z13" i="109" s="1"/>
  <c r="V11" i="109"/>
  <c r="W11" i="109" s="1"/>
  <c r="V10" i="109"/>
  <c r="Y10" i="109" s="1"/>
  <c r="Z10" i="109" s="1"/>
  <c r="V9" i="109"/>
  <c r="Y9" i="109" s="1"/>
  <c r="Z9" i="109" s="1"/>
  <c r="V8" i="109"/>
  <c r="W8" i="109" s="1"/>
  <c r="V7" i="109"/>
  <c r="Y7" i="109" s="1"/>
  <c r="Z7" i="109" s="1"/>
  <c r="Y6" i="109"/>
  <c r="Z6" i="109" s="1"/>
  <c r="W6" i="109"/>
  <c r="F6" i="109"/>
  <c r="I6" i="109" s="1"/>
  <c r="V5" i="109"/>
  <c r="Y5" i="109" s="1"/>
  <c r="Z5" i="109" s="1"/>
  <c r="F5" i="109"/>
  <c r="V4" i="109"/>
  <c r="F4" i="109"/>
  <c r="H4" i="109" s="1"/>
  <c r="AA14" i="110" l="1"/>
  <c r="I5" i="109"/>
  <c r="H5" i="109"/>
  <c r="I4" i="109"/>
  <c r="I14" i="109" s="1"/>
  <c r="H6" i="109"/>
  <c r="V14" i="109"/>
  <c r="W10" i="109"/>
  <c r="W4" i="109"/>
  <c r="W5" i="109"/>
  <c r="Y8" i="109"/>
  <c r="Z8" i="109" s="1"/>
  <c r="Y11" i="109"/>
  <c r="Z11" i="109" s="1"/>
  <c r="E14" i="109"/>
  <c r="Y4" i="109"/>
  <c r="F14" i="109"/>
  <c r="W7" i="109"/>
  <c r="W9" i="109"/>
  <c r="W13" i="109"/>
  <c r="H14" i="109" l="1"/>
  <c r="Y14" i="109"/>
  <c r="Z4" i="109"/>
  <c r="Z14" i="109" s="1"/>
  <c r="W14" i="109"/>
  <c r="AA14" i="10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préstamo 10/12</t>
        </r>
      </text>
    </comment>
    <comment ref="T1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5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3 días de vacaciones</t>
        </r>
      </text>
    </comment>
    <comment ref="T9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3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03/03 falta injustificada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7" authorId="0" shapeId="0" xr:uid="{00000000-0006-0000-0A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12/03 falta injustificada</t>
        </r>
      </text>
    </comment>
    <comment ref="T9" authorId="0" shapeId="0" xr:uid="{00000000-0006-0000-0A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00000000-0006-0000-0B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Keralty</t>
        </r>
      </text>
    </comment>
    <comment ref="U7" authorId="0" shapeId="0" xr:uid="{00000000-0006-0000-0B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festivo laborado 17/03</t>
        </r>
      </text>
    </comment>
    <comment ref="T9" authorId="0" shapeId="0" xr:uid="{00000000-0006-0000-0B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00000000-0006-0000-0B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13/03 falta injustificada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9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+ 1 día de vacaciones
</t>
        </r>
      </text>
    </comment>
    <comment ref="T5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1/17</t>
        </r>
      </text>
    </comment>
    <comment ref="T9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3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F.I 04/04</t>
        </r>
      </text>
    </comment>
    <comment ref="U14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Bonificación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+ 1 día de vacaciones
</t>
        </r>
      </text>
    </comment>
    <comment ref="T5" authorId="0" shapeId="0" xr:uid="{00000000-0006-0000-0E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2/17</t>
        </r>
      </text>
    </comment>
    <comment ref="U5" authorId="0" shapeId="0" xr:uid="{00000000-0006-0000-0E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 </t>
        </r>
      </text>
    </comment>
    <comment ref="T9" authorId="0" shapeId="0" xr:uid="{00000000-0006-0000-0E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</authors>
  <commentList>
    <comment ref="U4" authorId="0" shapeId="0" xr:uid="{00000000-0006-0000-0F00-00000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Bono por platillos 131*10
+Prima Vacacional $250.00 Vacaciones del 17-18 Abril</t>
        </r>
      </text>
    </comment>
    <comment ref="T5" authorId="1" shapeId="0" xr:uid="{00000000-0006-0000-0F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3/17</t>
        </r>
      </text>
    </comment>
    <comment ref="U5" authorId="1" shapeId="0" xr:uid="{00000000-0006-0000-0F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5 días de vacaciones </t>
        </r>
      </text>
    </comment>
    <comment ref="U6" authorId="0" shapeId="0" xr:uid="{00000000-0006-0000-0F00-00000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</t>
        </r>
      </text>
    </comment>
    <comment ref="U8" authorId="0" shapeId="0" xr:uid="{00000000-0006-0000-0F00-00000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</t>
        </r>
      </text>
    </comment>
    <comment ref="T9" authorId="1" shapeId="0" xr:uid="{00000000-0006-0000-0F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9" authorId="0" shapeId="0" xr:uid="{00000000-0006-0000-0F00-00000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
</t>
        </r>
      </text>
    </comment>
    <comment ref="U11" authorId="0" shapeId="0" xr:uid="{00000000-0006-0000-0F00-00000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U13" authorId="0" shapeId="0" xr:uid="{00000000-0006-0000-0F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1
 días de vacaciones</t>
        </r>
      </text>
    </comment>
    <comment ref="U14" authorId="0" shapeId="0" xr:uid="{00000000-0006-0000-0F00-00000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+ reembolso por ida a mexicali sabado 12 de abril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AuxContabilidad</author>
    <author>Auxiliar de RH 1</author>
  </authors>
  <commentList>
    <comment ref="V4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Bono por platillos 131*10
+Prima Vacacional $250.00 Vacaciones del 17-18 Abril</t>
        </r>
      </text>
    </comment>
    <comment ref="U5" authorId="1" shapeId="0" xr:uid="{00000000-0006-0000-10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3/17</t>
        </r>
      </text>
    </comment>
    <comment ref="V5" authorId="1" shapeId="0" xr:uid="{00000000-0006-0000-10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5 días de vacaciones </t>
        </r>
      </text>
    </comment>
    <comment ref="V6" authorId="0" shapeId="0" xr:uid="{00000000-0006-0000-1000-00000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</t>
        </r>
      </text>
    </comment>
    <comment ref="V8" authorId="0" shapeId="0" xr:uid="{00000000-0006-0000-1000-000005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</t>
        </r>
      </text>
    </comment>
    <comment ref="U9" authorId="1" shapeId="0" xr:uid="{00000000-0006-0000-1000-000006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V9" authorId="0" shapeId="0" xr:uid="{00000000-0006-0000-1000-000007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
</t>
        </r>
      </text>
    </comment>
    <comment ref="V11" authorId="0" shapeId="0" xr:uid="{00000000-0006-0000-1000-000008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V13" authorId="0" shapeId="0" xr:uid="{00000000-0006-0000-1000-000009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1
 días de vacaciones</t>
        </r>
      </text>
    </comment>
    <comment ref="V14" authorId="0" shapeId="0" xr:uid="{00000000-0006-0000-1000-00000A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Cálculo 2 días de vacaciones + reembolso por ida a mexicali sabado 12 de abril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71FA885C-F88A-4DB2-A46D-F28E69C7E64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+ 3 días de vacaciones
</t>
        </r>
      </text>
    </comment>
    <comment ref="T5" authorId="0" shapeId="0" xr:uid="{A9DF5428-1A9D-4585-A8BB-C37212FACC8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4/17</t>
        </r>
      </text>
    </comment>
    <comment ref="T7" authorId="0" shapeId="0" xr:uid="{6B854BBC-9DAE-4CFE-95AD-ECC80B0B35D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11CC5B1E-0162-4B83-8B29-8413220A3D8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B29334D6-1879-4408-B65B-CFE5031071A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I: 17,18 y 22 abril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458CD638-A2A5-4266-9364-BDB6BD28FD2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F1D4F6BD-C191-487F-834C-FFDA468CBC7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5/17</t>
        </r>
      </text>
    </comment>
    <comment ref="T7" authorId="0" shapeId="0" xr:uid="{B7190236-6BE0-415D-B306-258B081416D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U7" authorId="0" shapeId="0" xr:uid="{4F6B440F-DCBE-4DE1-8573-D00004E6140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9" authorId="0" shapeId="0" xr:uid="{267B63A3-6511-448E-87BA-EA55AEE8F20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préstamo 11/12 + dcto 02/01 al 60%</t>
        </r>
      </text>
    </comment>
    <comment ref="T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271C1B4-FAAF-4734-8AEA-985C4AE2529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C40BD8FD-BD17-4292-8984-08EDE14E67E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6/17</t>
        </r>
      </text>
    </comment>
    <comment ref="T7" authorId="0" shapeId="0" xr:uid="{2508FF34-B45D-4056-A116-88BA3E63449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CD9CD799-088A-41C3-A610-7FB16E109F5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25CC823A-7E1A-4019-8ABD-50AB77BC7D3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581BD268-224A-400D-A03E-D3C3C7FFBB7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7/17</t>
        </r>
      </text>
    </comment>
    <comment ref="U6" authorId="0" shapeId="0" xr:uid="{43CA499F-7CAD-4908-96DF-FC5425381BC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de 1 día de vacaciones</t>
        </r>
      </text>
    </comment>
    <comment ref="T7" authorId="0" shapeId="0" xr:uid="{788FB871-2C45-4AE2-957A-C8163B49B0C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2247E1EF-338F-4CDA-A7AB-D89804F7481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67EA6B95-2271-4076-A4DF-EF8BADA5516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F.I: 11/05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AC90946A-6938-4BC2-887F-F896CFBC1E8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63CE3036-8639-4BE2-8698-80D5F22214C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8/17</t>
        </r>
      </text>
    </comment>
    <comment ref="T7" authorId="0" shapeId="0" xr:uid="{0882A063-C272-4E7E-BE44-69EBD66A15B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96FA2FDB-F90B-4019-B299-6A7BFE63325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F7D9DC33-85A8-43BB-97A4-054CC78082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4E8A3963-1308-4F5B-9BCF-AC356F3946E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9/17</t>
        </r>
      </text>
    </comment>
    <comment ref="T7" authorId="0" shapeId="0" xr:uid="{8EDAC1C5-AC61-452C-ACD3-6DC640C8627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48B968CD-AFFD-4B00-A8BD-9EDA3DFCAD2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9" authorId="0" shapeId="0" xr:uid="{0072D2B0-4108-4CA9-8FC0-3ED275EDAAC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10" authorId="0" shapeId="0" xr:uid="{BC89BA34-FA60-4E4F-97C2-9E5F9FDA7E0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F.I: 25/05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25B3C13B-FFC4-45C4-A700-4428276B713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175C57DC-04E2-4619-95CF-9D370A19935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10/17</t>
        </r>
      </text>
    </comment>
    <comment ref="T7" authorId="0" shapeId="0" xr:uid="{E8CA9BF9-F3E4-422C-844F-20826FE6A28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U8" authorId="0" shapeId="0" xr:uid="{2F16FCC2-189C-4C7A-9DA8-0F387BA9955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6 días de vacaciones</t>
        </r>
      </text>
    </comment>
    <comment ref="T9" authorId="0" shapeId="0" xr:uid="{3599CB95-49F5-4B98-9799-AC632FDC911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9" authorId="0" shapeId="0" xr:uid="{666D4CB3-A707-4BB7-9C83-C01B251BF4F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10" authorId="0" shapeId="0" xr:uid="{9989C825-F038-43AE-91F4-750E657207A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F.I: 29/05  + DSCTO BP Y BA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B0237B2D-CF01-4C13-87FE-FB59EDC4D5F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3E7D04D0-18E7-4A48-A925-BED5067E5CD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11/17</t>
        </r>
      </text>
    </comment>
    <comment ref="T7" authorId="0" shapeId="0" xr:uid="{5ED30E00-BC37-4FFF-99E7-B9B9574AA9C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9375939F-521A-448B-90FE-A5CE5D11259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9" authorId="0" shapeId="0" xr:uid="{4FC3D062-706D-48A0-9079-B27D2A5C1EA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10" authorId="0" shapeId="0" xr:uid="{EB0DD187-1ADB-4F45-9928-F3F33EEBCBC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Calculo F.I: 07/06  + DSCTO BP Y BA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7BF52B69-5B59-4BDC-8E01-7D5CC02C98F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7DEB41EE-864A-4DC1-BDCB-04FCB657240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12/17</t>
        </r>
      </text>
    </comment>
    <comment ref="T7" authorId="0" shapeId="0" xr:uid="{72E9FE8D-8EE8-4BFF-9F63-412CBBED2AE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5876ECA5-9057-4352-AAB2-68C478F0EF7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56C39ECD-0D3E-44F0-A5DD-BFBA049C1A9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F266FD79-7928-4652-917C-9A6DBDA058B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13/17</t>
        </r>
      </text>
    </comment>
    <comment ref="T7" authorId="0" shapeId="0" xr:uid="{1351D5B1-1D34-4B1F-A581-EE20D3C75F9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U7" authorId="0" shapeId="0" xr:uid="{7DA6C7BF-09A5-4D57-95C0-10CF8100FC6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9" authorId="0" shapeId="0" xr:uid="{F8C953F3-33D9-4B68-BF0A-927673777CB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E48E0D75-1040-440D-B4BD-058560928D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faltas injustificadas + dscto B.P y B.A</t>
        </r>
      </text>
    </comment>
    <comment ref="T11" authorId="0" shapeId="0" xr:uid="{531CA7C5-4BD0-4A08-8E89-578468C5CD1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1/12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82B81074-51FB-426C-80DF-02B4B267623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C029DD8D-441A-4C8E-A8C5-48CC753EC87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14/17</t>
        </r>
      </text>
    </comment>
    <comment ref="T7" authorId="0" shapeId="0" xr:uid="{8509590C-22D3-4EFE-B4FE-ADD657A138E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9" authorId="0" shapeId="0" xr:uid="{6BDBE93D-46D1-4569-8F15-77E20455C10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38BC61DD-6C58-43AF-AFBC-340476FA7CA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faltas injustificadas </t>
        </r>
      </text>
    </comment>
    <comment ref="T11" authorId="0" shapeId="0" xr:uid="{87A0772B-0CE3-4FE7-B90E-E40ECE050A8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2/12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DE739A83-9625-44D0-B894-2BB1E26EE21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de licencia</t>
        </r>
      </text>
    </comment>
    <comment ref="U4" authorId="0" shapeId="0" xr:uid="{0DA09EA0-6B9B-4CDC-A9A6-B5C03974193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5" authorId="0" shapeId="0" xr:uid="{6C8CC698-C33A-4BD4-896E-3EB35E614FC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15/17</t>
        </r>
      </text>
    </comment>
    <comment ref="T7" authorId="0" shapeId="0" xr:uid="{3992C82A-0091-46DE-9150-2122A3075E5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U7" authorId="0" shapeId="0" xr:uid="{5FC85D24-8F13-4E24-B952-E38B849A60E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6 días de vacaciones</t>
        </r>
      </text>
    </comment>
    <comment ref="T8" authorId="0" shapeId="0" xr:uid="{908E046A-2C06-40EF-AF19-28CA373CB99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de licencia 1/2</t>
        </r>
      </text>
    </comment>
    <comment ref="T9" authorId="0" shapeId="0" xr:uid="{E9CC9A13-5A9E-448D-8EA6-A403695D07B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1" authorId="0" shapeId="0" xr:uid="{E90E2F8D-DD73-4FF4-9D4A-46643E9F8ED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3/12 + 305.50 pago de licencia</t>
        </r>
      </text>
    </comment>
    <comment ref="T14" authorId="0" shapeId="0" xr:uid="{BC9A703D-6035-4D00-9B45-F5EC3F1E99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de licencia 1/2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préstamo 12/12</t>
        </r>
      </text>
    </comment>
    <comment ref="T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AFBDC262-24A9-4E21-B729-FD54A70408A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+ 6 días de VAC: $750</t>
        </r>
      </text>
    </comment>
    <comment ref="T5" authorId="0" shapeId="0" xr:uid="{224F4B91-31A2-48A0-9948-16CD6CB1B63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16/17</t>
        </r>
      </text>
    </comment>
    <comment ref="T7" authorId="0" shapeId="0" xr:uid="{0766B760-93DB-43EA-9CBC-C03CEDB06CF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</t>
        </r>
      </text>
    </comment>
    <comment ref="T8" authorId="0" shapeId="0" xr:uid="{528ECEEA-C987-499E-9872-85BE96D14FB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de licencia 2/2</t>
        </r>
      </text>
    </comment>
    <comment ref="T9" authorId="0" shapeId="0" xr:uid="{1185626D-8A8E-4A91-BF4C-CACB59C6A14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C8F68D82-7CC8-4215-8F17-FE38EBFB67D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4/12</t>
        </r>
      </text>
    </comment>
    <comment ref="T13" authorId="0" shapeId="0" xr:uid="{7F4F28F5-0AD3-4945-A48D-B3FD52DD686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Pago de licencia 2/2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5" authorId="0" shapeId="0" xr:uid="{8E0398DB-CA7D-40FA-9EE2-31AE8B9003E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17/17</t>
        </r>
      </text>
    </comment>
    <comment ref="T7" authorId="0" shapeId="0" xr:uid="{5966F73C-B0ED-4DC9-96D0-B9E32F182F2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+ Cálculo 2 días al 60%</t>
        </r>
      </text>
    </comment>
    <comment ref="T9" authorId="0" shapeId="0" xr:uid="{FDD9B3E0-8559-48E1-94B2-1F5B40F04EC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9" authorId="0" shapeId="0" xr:uid="{DC178188-9430-4011-BC46-DEB6AEA4FE0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de vacaciones</t>
        </r>
      </text>
    </comment>
    <comment ref="T10" authorId="0" shapeId="0" xr:uid="{6E0E553D-E235-4927-B20B-4578BE782B5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5/12</t>
        </r>
      </text>
    </comment>
    <comment ref="U10" authorId="0" shapeId="0" xr:uid="{81885E4D-969C-4FD0-B0E2-DDEF1016907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días de vacaciones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6BEE0028-6AAA-4FE4-AC9A-CC226E3E21F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U5" authorId="0" shapeId="0" xr:uid="{CCE2B09A-C04D-4082-B6C9-CE5305BAA1C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Préstamo</t>
        </r>
      </text>
    </comment>
    <comment ref="T7" authorId="0" shapeId="0" xr:uid="{56600C7E-0571-4CA3-9201-F8C1C61E876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U7" authorId="0" shapeId="0" xr:uid="{AEF4DA73-5A24-4A3C-8C3B-B7782EE7194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T9" authorId="0" shapeId="0" xr:uid="{1C47FC65-EAA4-4E39-A43B-4B6FC952CA3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BEF0E7BB-CEB8-438C-B833-A3E7CA7FAED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6/12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E6D35A35-C77E-4E1E-A091-91E016E886C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EDBF7958-5CD0-4E92-8077-99B60BE2529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1/17</t>
        </r>
      </text>
    </comment>
    <comment ref="U5" authorId="0" shapeId="0" xr:uid="{D1B054B7-2F86-4DBA-B20B-A49A5110AD4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04/08 y 05/08</t>
        </r>
      </text>
    </comment>
    <comment ref="T7" authorId="0" shapeId="0" xr:uid="{9D63DEB9-34A2-4626-802E-E0DE5AACB72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86648C73-F5F6-43D6-841C-FD9ACE3854A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760E59E6-4E16-44E9-9433-1684B061B65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7/12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FA4E33A5-56E7-4A65-B1FB-D3A38AB2155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60EDC0BB-40F0-4689-B556-9D96E132EEF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2/17</t>
        </r>
      </text>
    </comment>
    <comment ref="T7" authorId="0" shapeId="0" xr:uid="{0A9AEE4F-040D-4ECF-8564-69DFE0D98AF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03B00661-2361-473A-A1C1-4A74499E8F1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AB579368-3AB1-4642-B4FF-C8689C04468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8/12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6F67C0A5-12BF-4869-BFDD-A6033BCA311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CFE72D36-D2EA-46EA-974D-E07CC456948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3/17 + 60% 20/08
</t>
        </r>
      </text>
    </comment>
    <comment ref="T7" authorId="0" shapeId="0" xr:uid="{51F6F82D-6A17-48C6-A94F-C4E262C3A5A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3F4E599E-0E28-46BF-911A-12C78523FAA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2FD03992-0AAD-40C0-BDE3-5F67A4C5FDA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9/12 +
PSG 18/08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4BCDDA66-CC9C-4909-A3D7-1A20FEFA760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645B0853-6549-4B1B-96BF-7417A57A331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4/17 
</t>
        </r>
      </text>
    </comment>
    <comment ref="T7" authorId="0" shapeId="0" xr:uid="{2AD22AA3-CC04-454E-9EAD-8C2596F479F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611C0ED1-B333-4474-A9A1-EA859DFB5A7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8671A815-0D36-43DB-86FB-3B14B1D1E09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10/12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0BCCC03F-43B9-46FC-8BCD-F012079F74A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01 de 12</t>
        </r>
      </text>
    </comment>
    <comment ref="U4" authorId="0" shapeId="0" xr:uid="{6DAEDA49-002E-422B-8A06-901B3BE86D4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24E03FF1-9A4A-47AE-B322-1C477F5B2D0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5/17 
</t>
        </r>
      </text>
    </comment>
    <comment ref="T7" authorId="0" shapeId="0" xr:uid="{140F3C4D-B0BE-4A28-BD07-155E9FE63BA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A155E531-012D-4C06-9959-A375B33CA17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2BD3FE92-5EAC-4ABC-BE0B-6E3363C5336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11/12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DE0130DC-D396-499D-8A89-99D8219457A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02 de 12</t>
        </r>
      </text>
    </comment>
    <comment ref="U4" authorId="0" shapeId="0" xr:uid="{93F8AD2F-D8FB-4668-8A0B-10A55D7AA94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+ platillos pendientes de la semana pasada</t>
        </r>
      </text>
    </comment>
    <comment ref="T5" authorId="0" shapeId="0" xr:uid="{82728CC7-1501-4C81-9E8D-DC90EFE422C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6/17 
</t>
        </r>
      </text>
    </comment>
    <comment ref="T7" authorId="0" shapeId="0" xr:uid="{213DC13F-9908-4BF6-B18B-717282D42C4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EE095825-51DC-43E8-ACA0-CE08F952D63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B8CED8B1-7A04-4F91-9829-FC4D0E9AD83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Dscto prestamo 12/12 + Falta injustificada el 10/09</t>
        </r>
      </text>
    </comment>
    <comment ref="T14" authorId="0" shapeId="0" xr:uid="{ACA8D8D2-32DC-44EF-B1D1-969067354AF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al 60% el 07/09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B621AAE9-414E-4576-A66B-B953E0C1BD2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03 de 12</t>
        </r>
      </text>
    </comment>
    <comment ref="U4" authorId="0" shapeId="0" xr:uid="{2367D97A-8FE0-4E66-BDF0-6ECCDD055ED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</t>
        </r>
      </text>
    </comment>
    <comment ref="T5" authorId="0" shapeId="0" xr:uid="{D3BBE70C-4483-45E3-B8DB-A907445020C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7/17 
</t>
        </r>
      </text>
    </comment>
    <comment ref="T7" authorId="0" shapeId="0" xr:uid="{71289BA0-BA1F-428E-B413-30737F16FC4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61A46AAD-FC8A-4042-828C-76D1A9B789A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11" authorId="0" shapeId="0" xr:uid="{1AD2A627-D783-45F9-B514-E0B7FEFFE1F4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Festivo trabajado 16/09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</authors>
  <commentList>
    <comment ref="U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5" authorId="1" shapeId="0" xr:uid="{00000000-0006-0000-0300-00000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Prima vacacional 
</t>
        </r>
      </text>
    </comment>
    <comment ref="T10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8B548663-715A-4988-A91C-FC1B69256C0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04 de 12
DÍA AL 60% EL 23/09/2025</t>
        </r>
      </text>
    </comment>
    <comment ref="U4" authorId="0" shapeId="0" xr:uid="{9C31A23D-0158-4D30-96EB-99E9DFDD211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</t>
        </r>
      </text>
    </comment>
    <comment ref="T5" authorId="0" shapeId="0" xr:uid="{C8E059A4-66DA-4F79-BDEA-39A711CFC25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8/17 
</t>
        </r>
      </text>
    </comment>
    <comment ref="T7" authorId="0" shapeId="0" xr:uid="{176A8049-5D9D-407B-A945-663F16EB622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A633C333-AD1E-4BED-AF85-EB6E4E298B8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D07F10FE-2C99-4DBE-9ADD-2F8F0C04F32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05 de 12
</t>
        </r>
      </text>
    </comment>
    <comment ref="U4" authorId="0" shapeId="0" xr:uid="{97C790B1-142E-468F-B90B-81142A57B6B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</t>
        </r>
      </text>
    </comment>
    <comment ref="T5" authorId="0" shapeId="0" xr:uid="{C46A969F-2E54-4F7A-9C54-CF10D2E286F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8/17 
</t>
        </r>
      </text>
    </comment>
    <comment ref="T7" authorId="0" shapeId="0" xr:uid="{9382DA59-F61A-4DAE-ABB6-BF89FD3C39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924872DF-93DC-4189-8752-43A0A912854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C3AA80BB-E3B2-410B-A0F6-1F7044A4FC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05 de 12
</t>
        </r>
      </text>
    </comment>
    <comment ref="U4" authorId="0" shapeId="0" xr:uid="{247F2FB4-DA81-4099-98E6-B2665BC4FD1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141 platillos
</t>
        </r>
      </text>
    </comment>
    <comment ref="T5" authorId="0" shapeId="0" xr:uid="{37B3A81B-0D24-4DCE-BC33-5B56E74EE5B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9/17 
</t>
        </r>
      </text>
    </comment>
    <comment ref="T7" authorId="0" shapeId="0" xr:uid="{91EE9D67-0844-48FE-9981-777BDBFEAA0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A8AFCA89-DB03-42C1-87DA-207D3CFCCD7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066ECB94-E5A1-402D-AF2D-F82D5E148C3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INCAPACIDAD POR DOS DÍAS A PARTIR DEL 09/10/2025
LOS DESCUENTOS DE COMEDOR SE HARÁ LA SIGUIENTE SEMANA #42</t>
        </r>
      </text>
    </comment>
    <comment ref="T13" authorId="0" shapeId="0" xr:uid="{7C5CC301-6592-496A-B2F0-5367D531D91F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$551.81
Prestamo de licencia $700 2/5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3BC7131A-5CFB-49DC-B800-81C896D6F3C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05 de 12
</t>
        </r>
      </text>
    </comment>
    <comment ref="U4" authorId="0" shapeId="0" xr:uid="{FFAECF19-201F-48F4-96A7-D1107BA51D9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FE7A6A71-DE62-46FB-8F1D-A72A984EA3D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10/17 
</t>
        </r>
      </text>
    </comment>
    <comment ref="U6" authorId="0" shapeId="0" xr:uid="{619EC54C-A396-43B0-B586-69CB354603C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del 16 al 21 de octubre
</t>
        </r>
      </text>
    </comment>
    <comment ref="T7" authorId="0" shapeId="0" xr:uid="{3010F960-6996-4F0D-B3BD-736903B7BA21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085EF8E8-044A-41E0-9DC2-EC54CAF341B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569DA699-89B9-42D8-BE51-1D1F1A50F0A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platillos la semana pasada $515
-Falta el 13/10/2025 $666.67</t>
        </r>
      </text>
    </comment>
    <comment ref="T13" authorId="0" shapeId="0" xr:uid="{F3D2CE2E-CA47-4171-B536-164A8FC4173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$551.81
Prestamo de licencia $700 3/5</t>
        </r>
      </text>
    </comment>
    <comment ref="T15" authorId="0" shapeId="0" xr:uid="{ED921492-0954-4760-9367-43647B211FC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FECHA DE INGRESO EL 15/10/2025
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E6AA7B91-7502-4A5D-A20A-0DD01B147F3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05 de 12
</t>
        </r>
      </text>
    </comment>
    <comment ref="U4" authorId="0" shapeId="0" xr:uid="{A6CEAD8E-9D7F-4E80-B2E9-F85445950FA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14B3C22C-810F-484E-90AD-BD725F1FBFC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10/17 
</t>
        </r>
      </text>
    </comment>
    <comment ref="T6" authorId="0" shapeId="0" xr:uid="{1B5BDCAE-40CA-4B28-900F-8DC42BBE1A3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20 Y 21
</t>
        </r>
      </text>
    </comment>
    <comment ref="T7" authorId="0" shapeId="0" xr:uid="{CA4109A7-DF66-44DB-9E9F-3088E665A75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F486B6DA-679C-4FF9-8463-DE4C9F3CFD0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10" authorId="0" shapeId="0" xr:uid="{461D3AC2-CEC7-440F-A646-85C743D5BDA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VACACIONES LOS DÍAS 20 Y 21 OCTUBRE</t>
        </r>
      </text>
    </comment>
    <comment ref="T13" authorId="0" shapeId="0" xr:uid="{09D119FD-0080-459C-86B8-00F1C0E0D1E3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$551.81
Prestamo de licencia $700 4/5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12FC6922-03C1-4FD8-AE68-0ABBEF82C71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Fonacot 05 de 12
</t>
        </r>
      </text>
    </comment>
    <comment ref="U4" authorId="0" shapeId="0" xr:uid="{7263ACB6-F2F7-48B2-BBAC-74E2ED762CD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3D4CB1C5-C7E5-48EC-9107-218BCF82381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11/17 
</t>
        </r>
      </text>
    </comment>
    <comment ref="T7" authorId="0" shapeId="0" xr:uid="{5F6516AB-F9CB-4A9F-820E-26EA814F4AA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340A7F2D-4BDF-4A32-BA6A-99BB8DC0A7E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2" authorId="0" shapeId="0" xr:uid="{B902102C-8588-4376-BAE4-6E664408B04E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 $551.81
Prestamo de licencia $700 4/5</t>
        </r>
      </text>
    </comment>
    <comment ref="T15" authorId="0" shapeId="0" xr:uid="{EF2BE1E2-7CFF-424C-811A-D7C3D5305EB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
ENTRÓ EL MARTES 28/10/2025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F702FC09-B97E-41F6-9559-1064DE4B7C7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U4" authorId="0" shapeId="0" xr:uid="{57064CBF-12B5-4CB1-B242-DAF8957D228B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</t>
        </r>
      </text>
    </comment>
    <comment ref="T5" authorId="0" shapeId="0" xr:uid="{2D2B4D52-4E41-4BF0-981D-6BD8609E678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12/17 
</t>
        </r>
      </text>
    </comment>
    <comment ref="T7" authorId="0" shapeId="0" xr:uid="{074DE8BD-D93B-4568-AAAA-573D47FE5D6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3572A25D-0A7A-4071-BD72-2FBCAB5A2555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4" authorId="0" shapeId="0" xr:uid="{7B21EEE3-40E3-44F0-BC7C-CD3A5F0A46CA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T4" authorId="0" shapeId="0" xr:uid="{4F3A7221-098E-436C-ABEE-FA7786454AE8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
</t>
        </r>
      </text>
    </comment>
    <comment ref="U4" authorId="0" shapeId="0" xr:uid="{F4063082-BAB2-4367-ABC5-0195A7F4C71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 144
1 DÍA DE VACACIONES EL 11/11/25</t>
        </r>
      </text>
    </comment>
    <comment ref="T5" authorId="0" shapeId="0" xr:uid="{FA283EAD-1122-470E-A941-45C8B0C6CBF7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Prestamo 13/17 
</t>
        </r>
      </text>
    </comment>
    <comment ref="T7" authorId="0" shapeId="0" xr:uid="{1E755ABE-6A48-4447-989D-ABFFD628807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FONACOT </t>
        </r>
      </text>
    </comment>
    <comment ref="T9" authorId="0" shapeId="0" xr:uid="{D9A17820-E1B1-429D-8A00-E07BFBC8838D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3" authorId="0" shapeId="0" xr:uid="{378BF09A-FDB3-4132-AF44-62B204508CA9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FALTA INJUSTIFICADA EL 11/11/25</t>
        </r>
      </text>
    </comment>
    <comment ref="T14" authorId="0" shapeId="0" xr:uid="{47EF9609-80E5-498E-B66A-14DFA915F34C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T8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al 60%</t>
        </r>
      </text>
    </comment>
    <comment ref="T10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1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como falta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7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 + Pago día festivo laborado $1000</t>
        </r>
      </text>
    </comment>
    <comment ref="T9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U12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Día festivo laborado 03/02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  <author>AuxContabilidad</author>
  </authors>
  <commentList>
    <comment ref="U4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5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Trabajos realizados en casa de Diana</t>
        </r>
      </text>
    </comment>
    <comment ref="T9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3" authorId="1" shapeId="0" xr:uid="{00000000-0006-0000-0600-000004000000}">
      <text>
        <r>
          <rPr>
            <b/>
            <sz val="9"/>
            <color indexed="81"/>
            <rFont val="Tahoma"/>
            <family val="2"/>
          </rPr>
          <t>AuxContabilidad:</t>
        </r>
        <r>
          <rPr>
            <sz val="9"/>
            <color indexed="81"/>
            <rFont val="Tahoma"/>
            <family val="2"/>
          </rPr>
          <t xml:space="preserve">
Descuento por falta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U5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1 día de vacaciones</t>
        </r>
      </text>
    </comment>
    <comment ref="U7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3 días de vacaciones</t>
        </r>
      </text>
    </comment>
    <comment ref="T9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1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F.I 17/02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U4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Bono por platillos
</t>
        </r>
      </text>
    </comment>
    <comment ref="T9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INFONAVIT</t>
        </r>
      </text>
    </comment>
    <comment ref="T10" authorId="0" shapeId="0" xr:uid="{00000000-0006-0000-0800-000003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Cálculo 2 días como falta</t>
        </r>
      </text>
    </comment>
    <comment ref="T11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24/02 al 60%</t>
        </r>
      </text>
    </comment>
  </commentList>
</comments>
</file>

<file path=xl/sharedStrings.xml><?xml version="1.0" encoding="utf-8"?>
<sst xmlns="http://schemas.openxmlformats.org/spreadsheetml/2006/main" count="2235" uniqueCount="107">
  <si>
    <t>AYAX BIENES RAICES SA DE CV</t>
  </si>
  <si>
    <t>Nombre</t>
  </si>
  <si>
    <t>SALARIO SEMANAL NETO</t>
  </si>
  <si>
    <t>Salario Diario</t>
  </si>
  <si>
    <t xml:space="preserve">Salario Semanal </t>
  </si>
  <si>
    <t>Septimo dia</t>
  </si>
  <si>
    <t>Despensa</t>
  </si>
  <si>
    <t>Bono Puntualidad</t>
  </si>
  <si>
    <t>Bono Asistencia</t>
  </si>
  <si>
    <t>Total Percepcion</t>
  </si>
  <si>
    <t>CREDITO INFONAVIT</t>
  </si>
  <si>
    <t>PRESTAMO EMPRESA/ GMM</t>
  </si>
  <si>
    <t>RETENCION DE IMPUESTOS Y DIF</t>
  </si>
  <si>
    <t xml:space="preserve">Deposito Neto por semana </t>
  </si>
  <si>
    <t xml:space="preserve">COMEDOR </t>
  </si>
  <si>
    <t xml:space="preserve">DESCUENTOS </t>
  </si>
  <si>
    <t xml:space="preserve">BONOS ESPECIALES </t>
  </si>
  <si>
    <t xml:space="preserve">Asimilable </t>
  </si>
  <si>
    <t xml:space="preserve">Deposito Final </t>
  </si>
  <si>
    <t>LOPEZ RODRIGUEZ MARISOL</t>
  </si>
  <si>
    <t>BRAVO ENSASTIGUE ISIDORO</t>
  </si>
  <si>
    <t>ARCINIEGA VEGA ARELI</t>
  </si>
  <si>
    <t>Vacaciones</t>
  </si>
  <si>
    <t>Prima vacaciones</t>
  </si>
  <si>
    <t>Ajuste al neto</t>
  </si>
  <si>
    <t>DESAYUNOS</t>
  </si>
  <si>
    <t xml:space="preserve">TJ </t>
  </si>
  <si>
    <t xml:space="preserve">UNIDADES </t>
  </si>
  <si>
    <t xml:space="preserve">CUOTAS SH </t>
  </si>
  <si>
    <t xml:space="preserve">TOTAL SH </t>
  </si>
  <si>
    <t>CCB</t>
  </si>
  <si>
    <t>TORRES CHAVEZ CELIA VANESSA</t>
  </si>
  <si>
    <t>PEREZ URIARTE LETICIA IMELDA</t>
  </si>
  <si>
    <t>GONZALEZ JIMENEZ PORFIRIO</t>
  </si>
  <si>
    <t>NUÑEZ BADILLO HILDA VERONICA</t>
  </si>
  <si>
    <t>MTY</t>
  </si>
  <si>
    <t>LOPEZ TORRES EDGAR GEOVANI</t>
  </si>
  <si>
    <t>OVANDO TEPOZ JOSE JONNATHAN</t>
  </si>
  <si>
    <t>SALAZAR GARCIA ALEJANDRO</t>
  </si>
  <si>
    <t>NOMINA 01 (Del 30 diciembre del 05 enero 2024)</t>
  </si>
  <si>
    <t>NOMINA 02 (Del 06 al 12 enero 2024)</t>
  </si>
  <si>
    <t>NOMINA 03 (Del 13 al 19 enero 2024)</t>
  </si>
  <si>
    <t>NOMINA 04 (Del 27 enero al 02 febrero 2024)</t>
  </si>
  <si>
    <t>NOMINA 06 (Del 03 al 09 febrero 2025)</t>
  </si>
  <si>
    <t>NOMINA 07 (Del 10 al 16 febrero 2025)</t>
  </si>
  <si>
    <t>LOPEZ LOPEZ LIZBETH</t>
  </si>
  <si>
    <t>NOMINA 03 (Del 20 al 26 enero 2024)</t>
  </si>
  <si>
    <t>NOMINA 08 (Del 17 al 23 febrero 2025)</t>
  </si>
  <si>
    <t>NOMINA 09 (Del 24 febrero al 02 marzo 2025)</t>
  </si>
  <si>
    <t>NOMINA 10 (Del 03 al 09 marzo 2025)</t>
  </si>
  <si>
    <t>NOMINA 11 (Del 10 al 16 marzo 2025)</t>
  </si>
  <si>
    <t>MARQUEZ ARRIOLA RONY GEOVANNY</t>
  </si>
  <si>
    <t>NOMINA 12 (Del 17 al 23 marzo 2025)</t>
  </si>
  <si>
    <t>NOMINA 13 (Del 24 al 30 marzo 2025)</t>
  </si>
  <si>
    <t>NOMINA 14 (Del 31 marzo al 06 de abril 2025)</t>
  </si>
  <si>
    <t>NOMINA 15 (Del 07 al 13 de abril 2025)</t>
  </si>
  <si>
    <t>NOMINA 16 (Del 14 al 20 de abril 2025)</t>
  </si>
  <si>
    <t>Diferencia Prima vacacional</t>
  </si>
  <si>
    <t>IMPORTE CORRECTO</t>
  </si>
  <si>
    <t>Saldo a favor Federacion</t>
  </si>
  <si>
    <t>Saldo a favor SaberHacer</t>
  </si>
  <si>
    <t>FEDERACION</t>
  </si>
  <si>
    <t>IMPORTE A FAVOR</t>
  </si>
  <si>
    <t>SABERHACER</t>
  </si>
  <si>
    <t>IMPORTE PAGADO</t>
  </si>
  <si>
    <t>FISCAL</t>
  </si>
  <si>
    <t>IMPORTE A PAGAR</t>
  </si>
  <si>
    <t>NOMINA 17 (Del 21 al 27 de abril 2025)</t>
  </si>
  <si>
    <t>NOMINA 18 (Del 28 de abril al 04 de mayo 2025)</t>
  </si>
  <si>
    <t>NOMINA 19 (Del 05 al 11 de mayo 2025)</t>
  </si>
  <si>
    <t>NOMINA 20 (Del 12 al 18 de mayo 2025)</t>
  </si>
  <si>
    <t>NOMINA 21 (Del 19 al 25 de mayo 2025)</t>
  </si>
  <si>
    <t>NOMINA 22 (Del 26 de mayo al 01 junio 2025)</t>
  </si>
  <si>
    <t>CD</t>
  </si>
  <si>
    <t>TEC</t>
  </si>
  <si>
    <t>NOMINA 23 (Del 02 al 08 junio 2025)</t>
  </si>
  <si>
    <t>NOMINA 24 (Del 09 al 15 junio 2025)</t>
  </si>
  <si>
    <t>NOMINA 25 (Del 16 al 22 junio 2025)</t>
  </si>
  <si>
    <t>NOMINA 26 (Del 23 al 29 junio 2025)</t>
  </si>
  <si>
    <t>NOMINA 27 (Del 30 junio al 06 julio 2025)</t>
  </si>
  <si>
    <t>NOMINA 28 (Del 07 al 13 julio 2025)</t>
  </si>
  <si>
    <t>NOMINA 29 (Del 14 al 20 julio 2025)</t>
  </si>
  <si>
    <t>NOMINA 30 (Del 21 al 27 julio 2025)</t>
  </si>
  <si>
    <t>NOMINA 31 (Del 28 julio al 03 agosto 2025)</t>
  </si>
  <si>
    <t>NOMINA 32 (Del 04 al 10 agosto 2025)</t>
  </si>
  <si>
    <t>NOMINA 34 (Del 18 al 24 agosto 2025)</t>
  </si>
  <si>
    <t>NOMINA 33 (Del 11 al 17 agosto 2025)</t>
  </si>
  <si>
    <t>NOMINA 35 (Del 25 al 31 agosto 2025)</t>
  </si>
  <si>
    <t>NOMINA 36 (Del 01 al 07 septiembre 2025)</t>
  </si>
  <si>
    <t>BAUTISTA MONDRAGON FERDIN</t>
  </si>
  <si>
    <t>NOMINA 37 (Del 08 al 12 septiembre 2025)</t>
  </si>
  <si>
    <t>NOMINA 38 (Del 15 al 21 septiembre 2025)</t>
  </si>
  <si>
    <t>NOMINA 39 (Del 22 al 28 septiembre 2025)</t>
  </si>
  <si>
    <t>NOMINA 40 (Del 29 al 05 octubre 2025)</t>
  </si>
  <si>
    <t>NOMINA 41 (Del 06 al 12 octubre 2025)</t>
  </si>
  <si>
    <t>REYES VENTURA DUCTERO</t>
  </si>
  <si>
    <t>NOMINA 42 (Del 13 al 19 octubre 2025)</t>
  </si>
  <si>
    <t>ACOSTA PEREZ JHARITZA TRINIDAD</t>
  </si>
  <si>
    <t>MONTALVO GUZMAN JOSE ISABEL</t>
  </si>
  <si>
    <t>NOMINA 43 (Del 20 al 26 octubre 2025)</t>
  </si>
  <si>
    <t>ALCÁZAR SALAS ONÉSIMO</t>
  </si>
  <si>
    <t>NOMINA 44 (Del 27 de octubre al 02 noviembre 2025)</t>
  </si>
  <si>
    <t>NOMINA 45 (Del 03 al 09 noviembre 2025)</t>
  </si>
  <si>
    <t>VAZQUEZ YEE SINUHE MIDDONY</t>
  </si>
  <si>
    <t>NOMINA 46 (Del 10 al 16 noviembre 2025)</t>
  </si>
  <si>
    <t>ABUNDEZ MITRE JESUS SALVADOR</t>
  </si>
  <si>
    <t>SOMBRA MEDINA FLAVIO OSWALDO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</si>
</sst>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b/>
      <sz val="9"/>
      <color theme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E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0" borderId="0"/>
    <xf numFmtId="0" fontId="10" fillId="0" borderId="0"/>
    <xf numFmtId="4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2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43" fontId="5" fillId="0" borderId="8" xfId="2" applyFont="1" applyFill="1" applyBorder="1" applyAlignment="1">
      <alignment horizontal="center" vertical="center"/>
    </xf>
    <xf numFmtId="43" fontId="5" fillId="0" borderId="7" xfId="1" applyNumberFormat="1" applyFont="1" applyBorder="1" applyAlignment="1">
      <alignment horizontal="center" vertical="center"/>
    </xf>
    <xf numFmtId="43" fontId="5" fillId="0" borderId="9" xfId="1" applyNumberFormat="1" applyFont="1" applyBorder="1" applyAlignment="1">
      <alignment horizontal="center" vertical="center"/>
    </xf>
    <xf numFmtId="43" fontId="6" fillId="0" borderId="7" xfId="2" applyFont="1" applyFill="1" applyBorder="1" applyAlignment="1">
      <alignment horizontal="center" vertical="center"/>
    </xf>
    <xf numFmtId="43" fontId="0" fillId="0" borderId="0" xfId="0" applyNumberFormat="1"/>
    <xf numFmtId="43" fontId="6" fillId="0" borderId="10" xfId="2" applyFont="1" applyFill="1" applyBorder="1" applyAlignment="1">
      <alignment horizontal="center" vertical="center"/>
    </xf>
    <xf numFmtId="43" fontId="6" fillId="0" borderId="6" xfId="2" applyFont="1" applyFill="1" applyBorder="1" applyAlignment="1">
      <alignment horizontal="center" vertical="center"/>
    </xf>
    <xf numFmtId="43" fontId="5" fillId="0" borderId="11" xfId="1" applyNumberFormat="1" applyFont="1" applyBorder="1" applyAlignment="1">
      <alignment horizontal="center" vertical="center"/>
    </xf>
    <xf numFmtId="43" fontId="6" fillId="0" borderId="13" xfId="2" applyFont="1" applyFill="1" applyBorder="1" applyAlignment="1">
      <alignment horizontal="center" vertical="center"/>
    </xf>
    <xf numFmtId="43" fontId="6" fillId="0" borderId="0" xfId="2" applyFont="1" applyFill="1" applyBorder="1" applyAlignment="1">
      <alignment horizontal="center" vertical="center"/>
    </xf>
    <xf numFmtId="0" fontId="11" fillId="0" borderId="0" xfId="3" applyFont="1" applyAlignment="1">
      <alignment horizontal="center"/>
    </xf>
    <xf numFmtId="0" fontId="10" fillId="0" borderId="0" xfId="3"/>
    <xf numFmtId="43" fontId="10" fillId="0" borderId="0" xfId="3" applyNumberFormat="1"/>
    <xf numFmtId="4" fontId="7" fillId="4" borderId="13" xfId="2" applyNumberFormat="1" applyFont="1" applyFill="1" applyBorder="1" applyAlignment="1">
      <alignment vertical="center"/>
    </xf>
    <xf numFmtId="43" fontId="2" fillId="6" borderId="4" xfId="1" applyNumberFormat="1" applyFont="1" applyFill="1" applyBorder="1" applyAlignment="1">
      <alignment vertical="center"/>
    </xf>
    <xf numFmtId="43" fontId="5" fillId="0" borderId="16" xfId="1" applyNumberFormat="1" applyFont="1" applyBorder="1" applyAlignment="1">
      <alignment horizontal="center" vertical="center"/>
    </xf>
    <xf numFmtId="43" fontId="5" fillId="0" borderId="0" xfId="1" applyNumberFormat="1" applyFont="1" applyAlignment="1">
      <alignment horizontal="center" vertical="center"/>
    </xf>
    <xf numFmtId="43" fontId="9" fillId="0" borderId="4" xfId="2" applyFont="1" applyFill="1" applyBorder="1" applyAlignment="1">
      <alignment vertical="center"/>
    </xf>
    <xf numFmtId="43" fontId="7" fillId="5" borderId="4" xfId="2" applyFont="1" applyFill="1" applyBorder="1" applyAlignment="1">
      <alignment vertical="center"/>
    </xf>
    <xf numFmtId="43" fontId="8" fillId="0" borderId="4" xfId="2" applyFont="1" applyFill="1" applyBorder="1" applyAlignment="1">
      <alignment vertical="center"/>
    </xf>
    <xf numFmtId="43" fontId="9" fillId="2" borderId="4" xfId="2" applyFont="1" applyFill="1" applyBorder="1" applyAlignment="1">
      <alignment vertical="center"/>
    </xf>
    <xf numFmtId="43" fontId="9" fillId="0" borderId="4" xfId="2" applyFont="1" applyFill="1" applyBorder="1" applyAlignment="1">
      <alignment horizontal="center" vertical="center"/>
    </xf>
    <xf numFmtId="43" fontId="12" fillId="0" borderId="4" xfId="2" applyFont="1" applyFill="1" applyBorder="1" applyAlignment="1">
      <alignment vertical="center"/>
    </xf>
    <xf numFmtId="43" fontId="6" fillId="0" borderId="12" xfId="2" applyFont="1" applyFill="1" applyBorder="1" applyAlignment="1">
      <alignment horizontal="center" vertical="center"/>
    </xf>
    <xf numFmtId="43" fontId="6" fillId="0" borderId="15" xfId="2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43" fontId="2" fillId="0" borderId="11" xfId="1" applyNumberFormat="1" applyFont="1" applyBorder="1" applyAlignment="1">
      <alignment horizontal="center" vertical="center"/>
    </xf>
    <xf numFmtId="43" fontId="2" fillId="6" borderId="14" xfId="4" applyNumberFormat="1" applyFont="1" applyFill="1" applyBorder="1" applyAlignment="1">
      <alignment vertical="center"/>
    </xf>
    <xf numFmtId="0" fontId="2" fillId="2" borderId="14" xfId="1" applyFont="1" applyFill="1" applyBorder="1" applyAlignment="1">
      <alignment horizontal="center"/>
    </xf>
    <xf numFmtId="0" fontId="5" fillId="2" borderId="1" xfId="1" applyFont="1" applyFill="1" applyBorder="1" applyAlignment="1">
      <alignment vertical="center"/>
    </xf>
    <xf numFmtId="43" fontId="2" fillId="6" borderId="14" xfId="1" applyNumberFormat="1" applyFont="1" applyFill="1" applyBorder="1" applyAlignment="1">
      <alignment vertical="center"/>
    </xf>
    <xf numFmtId="0" fontId="3" fillId="3" borderId="1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0" fillId="0" borderId="0" xfId="3" applyNumberFormat="1"/>
    <xf numFmtId="0" fontId="2" fillId="2" borderId="19" xfId="1" applyFont="1" applyFill="1" applyBorder="1" applyAlignment="1">
      <alignment horizontal="center"/>
    </xf>
    <xf numFmtId="43" fontId="5" fillId="5" borderId="20" xfId="2" applyFont="1" applyFill="1" applyBorder="1" applyAlignment="1">
      <alignment horizontal="center" vertical="center"/>
    </xf>
    <xf numFmtId="43" fontId="5" fillId="5" borderId="12" xfId="2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/>
    </xf>
    <xf numFmtId="0" fontId="5" fillId="2" borderId="14" xfId="1" applyFont="1" applyFill="1" applyBorder="1" applyAlignment="1">
      <alignment horizontal="left" vertical="center"/>
    </xf>
    <xf numFmtId="43" fontId="9" fillId="7" borderId="4" xfId="2" applyFont="1" applyFill="1" applyBorder="1" applyAlignment="1">
      <alignment vertical="center"/>
    </xf>
    <xf numFmtId="43" fontId="0" fillId="0" borderId="0" xfId="5" applyFont="1"/>
    <xf numFmtId="0" fontId="2" fillId="8" borderId="19" xfId="1" applyFont="1" applyFill="1" applyBorder="1" applyAlignment="1">
      <alignment horizontal="center"/>
    </xf>
    <xf numFmtId="0" fontId="5" fillId="8" borderId="4" xfId="1" applyFont="1" applyFill="1" applyBorder="1" applyAlignment="1">
      <alignment horizontal="left" vertical="center"/>
    </xf>
    <xf numFmtId="43" fontId="5" fillId="8" borderId="12" xfId="2" applyFont="1" applyFill="1" applyBorder="1" applyAlignment="1">
      <alignment horizontal="center" vertical="center"/>
    </xf>
    <xf numFmtId="43" fontId="5" fillId="8" borderId="8" xfId="2" applyFont="1" applyFill="1" applyBorder="1" applyAlignment="1">
      <alignment horizontal="center" vertical="center"/>
    </xf>
    <xf numFmtId="43" fontId="5" fillId="8" borderId="7" xfId="1" applyNumberFormat="1" applyFont="1" applyFill="1" applyBorder="1" applyAlignment="1">
      <alignment horizontal="center" vertical="center"/>
    </xf>
    <xf numFmtId="43" fontId="5" fillId="8" borderId="9" xfId="1" applyNumberFormat="1" applyFont="1" applyFill="1" applyBorder="1" applyAlignment="1">
      <alignment horizontal="center" vertical="center"/>
    </xf>
    <xf numFmtId="43" fontId="5" fillId="8" borderId="11" xfId="1" applyNumberFormat="1" applyFont="1" applyFill="1" applyBorder="1" applyAlignment="1">
      <alignment horizontal="center" vertical="center"/>
    </xf>
    <xf numFmtId="43" fontId="2" fillId="8" borderId="11" xfId="1" applyNumberFormat="1" applyFont="1" applyFill="1" applyBorder="1" applyAlignment="1">
      <alignment horizontal="center" vertical="center"/>
    </xf>
    <xf numFmtId="43" fontId="6" fillId="8" borderId="15" xfId="2" applyFont="1" applyFill="1" applyBorder="1" applyAlignment="1">
      <alignment horizontal="center" vertical="center"/>
    </xf>
    <xf numFmtId="43" fontId="6" fillId="8" borderId="0" xfId="2" applyFont="1" applyFill="1" applyBorder="1" applyAlignment="1">
      <alignment horizontal="center" vertical="center"/>
    </xf>
    <xf numFmtId="43" fontId="6" fillId="8" borderId="13" xfId="2" applyFont="1" applyFill="1" applyBorder="1" applyAlignment="1">
      <alignment horizontal="center" vertical="center"/>
    </xf>
    <xf numFmtId="4" fontId="7" fillId="8" borderId="13" xfId="2" applyNumberFormat="1" applyFont="1" applyFill="1" applyBorder="1" applyAlignment="1">
      <alignment vertical="center"/>
    </xf>
    <xf numFmtId="43" fontId="9" fillId="8" borderId="4" xfId="2" applyFont="1" applyFill="1" applyBorder="1" applyAlignment="1">
      <alignment horizontal="center" vertical="center"/>
    </xf>
    <xf numFmtId="43" fontId="9" fillId="8" borderId="4" xfId="2" applyFont="1" applyFill="1" applyBorder="1" applyAlignment="1">
      <alignment vertical="center"/>
    </xf>
    <xf numFmtId="43" fontId="12" fillId="8" borderId="4" xfId="2" applyFont="1" applyFill="1" applyBorder="1" applyAlignment="1">
      <alignment vertical="center"/>
    </xf>
    <xf numFmtId="43" fontId="7" fillId="8" borderId="4" xfId="2" applyFont="1" applyFill="1" applyBorder="1" applyAlignment="1">
      <alignment vertical="center"/>
    </xf>
    <xf numFmtId="43" fontId="8" fillId="8" borderId="4" xfId="2" applyFont="1" applyFill="1" applyBorder="1" applyAlignment="1">
      <alignment vertical="center"/>
    </xf>
    <xf numFmtId="0" fontId="0" fillId="8" borderId="0" xfId="0" applyFill="1" applyAlignment="1">
      <alignment horizontal="center"/>
    </xf>
    <xf numFmtId="43" fontId="0" fillId="8" borderId="0" xfId="5" applyFont="1" applyFill="1"/>
    <xf numFmtId="0" fontId="0" fillId="0" borderId="17" xfId="0" applyBorder="1"/>
    <xf numFmtId="0" fontId="15" fillId="0" borderId="18" xfId="0" applyFont="1" applyBorder="1" applyAlignment="1">
      <alignment horizontal="center"/>
    </xf>
    <xf numFmtId="43" fontId="15" fillId="0" borderId="18" xfId="0" applyNumberFormat="1" applyFont="1" applyBorder="1"/>
    <xf numFmtId="0" fontId="15" fillId="0" borderId="18" xfId="0" applyFont="1" applyBorder="1"/>
    <xf numFmtId="0" fontId="15" fillId="0" borderId="21" xfId="0" applyFont="1" applyBorder="1" applyAlignment="1">
      <alignment wrapText="1"/>
    </xf>
    <xf numFmtId="0" fontId="15" fillId="0" borderId="16" xfId="0" applyFont="1" applyBorder="1" applyAlignment="1">
      <alignment horizontal="right"/>
    </xf>
    <xf numFmtId="43" fontId="0" fillId="0" borderId="15" xfId="0" applyNumberFormat="1" applyBorder="1"/>
    <xf numFmtId="0" fontId="15" fillId="0" borderId="22" xfId="0" applyFont="1" applyBorder="1" applyAlignment="1">
      <alignment horizontal="right"/>
    </xf>
    <xf numFmtId="43" fontId="0" fillId="0" borderId="1" xfId="0" applyNumberFormat="1" applyBorder="1"/>
    <xf numFmtId="43" fontId="0" fillId="0" borderId="23" xfId="0" applyNumberFormat="1" applyBorder="1"/>
    <xf numFmtId="14" fontId="0" fillId="0" borderId="0" xfId="0" applyNumberFormat="1"/>
    <xf numFmtId="43" fontId="7" fillId="9" borderId="4" xfId="2" applyFont="1" applyFill="1" applyBorder="1" applyAlignment="1">
      <alignment vertical="center"/>
    </xf>
    <xf numFmtId="43" fontId="7" fillId="10" borderId="4" xfId="2" applyFont="1" applyFill="1" applyBorder="1" applyAlignment="1">
      <alignment vertical="center"/>
    </xf>
    <xf numFmtId="0" fontId="2" fillId="11" borderId="19" xfId="1" applyFont="1" applyFill="1" applyBorder="1" applyAlignment="1">
      <alignment horizontal="center"/>
    </xf>
    <xf numFmtId="0" fontId="5" fillId="11" borderId="14" xfId="1" applyFont="1" applyFill="1" applyBorder="1" applyAlignment="1">
      <alignment horizontal="left" vertical="center"/>
    </xf>
    <xf numFmtId="43" fontId="5" fillId="11" borderId="12" xfId="2" applyFont="1" applyFill="1" applyBorder="1" applyAlignment="1">
      <alignment horizontal="center" vertical="center"/>
    </xf>
    <xf numFmtId="43" fontId="5" fillId="11" borderId="8" xfId="2" applyFont="1" applyFill="1" applyBorder="1" applyAlignment="1">
      <alignment horizontal="center" vertical="center"/>
    </xf>
    <xf numFmtId="43" fontId="5" fillId="11" borderId="7" xfId="1" applyNumberFormat="1" applyFont="1" applyFill="1" applyBorder="1" applyAlignment="1">
      <alignment horizontal="center" vertical="center"/>
    </xf>
    <xf numFmtId="43" fontId="5" fillId="11" borderId="16" xfId="1" applyNumberFormat="1" applyFont="1" applyFill="1" applyBorder="1" applyAlignment="1">
      <alignment horizontal="center" vertical="center"/>
    </xf>
    <xf numFmtId="43" fontId="5" fillId="11" borderId="0" xfId="1" applyNumberFormat="1" applyFont="1" applyFill="1" applyAlignment="1">
      <alignment horizontal="center" vertical="center"/>
    </xf>
    <xf numFmtId="43" fontId="2" fillId="11" borderId="11" xfId="1" applyNumberFormat="1" applyFont="1" applyFill="1" applyBorder="1" applyAlignment="1">
      <alignment horizontal="center" vertical="center"/>
    </xf>
    <xf numFmtId="43" fontId="6" fillId="11" borderId="15" xfId="2" applyFont="1" applyFill="1" applyBorder="1" applyAlignment="1">
      <alignment horizontal="center" vertical="center"/>
    </xf>
    <xf numFmtId="43" fontId="6" fillId="11" borderId="0" xfId="2" applyFont="1" applyFill="1" applyBorder="1" applyAlignment="1">
      <alignment horizontal="center" vertical="center"/>
    </xf>
    <xf numFmtId="43" fontId="6" fillId="11" borderId="13" xfId="2" applyFont="1" applyFill="1" applyBorder="1" applyAlignment="1">
      <alignment horizontal="center" vertical="center"/>
    </xf>
    <xf numFmtId="4" fontId="7" fillId="11" borderId="13" xfId="2" applyNumberFormat="1" applyFont="1" applyFill="1" applyBorder="1" applyAlignment="1">
      <alignment vertical="center"/>
    </xf>
    <xf numFmtId="43" fontId="9" fillId="11" borderId="4" xfId="2" applyFont="1" applyFill="1" applyBorder="1" applyAlignment="1">
      <alignment horizontal="center" vertical="center"/>
    </xf>
    <xf numFmtId="43" fontId="9" fillId="11" borderId="4" xfId="2" applyFont="1" applyFill="1" applyBorder="1" applyAlignment="1">
      <alignment vertical="center"/>
    </xf>
    <xf numFmtId="43" fontId="12" fillId="11" borderId="4" xfId="2" applyFont="1" applyFill="1" applyBorder="1" applyAlignment="1">
      <alignment vertical="center"/>
    </xf>
    <xf numFmtId="43" fontId="7" fillId="11" borderId="4" xfId="2" applyFont="1" applyFill="1" applyBorder="1" applyAlignment="1">
      <alignment vertical="center"/>
    </xf>
    <xf numFmtId="43" fontId="8" fillId="11" borderId="4" xfId="2" applyFont="1" applyFill="1" applyBorder="1" applyAlignment="1">
      <alignment vertical="center"/>
    </xf>
    <xf numFmtId="43" fontId="7" fillId="12" borderId="4" xfId="2" applyFont="1" applyFill="1" applyBorder="1" applyAlignment="1">
      <alignment vertical="center"/>
    </xf>
    <xf numFmtId="43" fontId="7" fillId="13" borderId="4" xfId="2" applyFont="1" applyFill="1" applyBorder="1" applyAlignment="1">
      <alignment vertical="center"/>
    </xf>
    <xf numFmtId="0" fontId="5" fillId="8" borderId="14" xfId="1" applyFont="1" applyFill="1" applyBorder="1" applyAlignment="1">
      <alignment horizontal="left" vertical="center"/>
    </xf>
    <xf numFmtId="43" fontId="5" fillId="8" borderId="16" xfId="1" applyNumberFormat="1" applyFont="1" applyFill="1" applyBorder="1" applyAlignment="1">
      <alignment horizontal="center" vertical="center"/>
    </xf>
    <xf numFmtId="43" fontId="5" fillId="8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</cellXfs>
  <cellStyles count="168">
    <cellStyle name="Comma" xfId="5" builtinId="3"/>
    <cellStyle name="Comma 2" xfId="6" xr:uid="{30D79712-2F1A-4418-A057-AC606AF23D2F}"/>
    <cellStyle name="Currency" xfId="4" builtinId="4"/>
    <cellStyle name="Millares 11" xfId="8" xr:uid="{E8442613-6BD5-47C4-88B3-570C9E02D039}"/>
    <cellStyle name="Millares 11 2" xfId="21" xr:uid="{630AA9CA-F044-4503-BCFD-A96CB6298E92}"/>
    <cellStyle name="Millares 11 2 2" xfId="39" xr:uid="{7663B7A8-CD03-426E-A000-00EF8942F1C0}"/>
    <cellStyle name="Millares 11 2 2 2" xfId="117" xr:uid="{399005FD-E9B7-430B-848A-5F4C620CF234}"/>
    <cellStyle name="Millares 11 2 3" xfId="57" xr:uid="{D1B798EA-8850-46DF-A8B9-E4CFF79963BC}"/>
    <cellStyle name="Millares 11 2 3 2" xfId="135" xr:uid="{8D666003-6254-43CB-9992-1F41816A1E1F}"/>
    <cellStyle name="Millares 11 2 4" xfId="75" xr:uid="{E64613F6-53C6-4E16-B299-7708A4375385}"/>
    <cellStyle name="Millares 11 2 4 2" xfId="153" xr:uid="{5D3A37A6-4B31-4643-81B6-9E88F2493060}"/>
    <cellStyle name="Millares 11 2 5" xfId="99" xr:uid="{F8ECEB96-E124-49EB-ADB7-3F57370AE829}"/>
    <cellStyle name="Millares 11 3" xfId="30" xr:uid="{2AA03223-B9C9-4B57-911E-AEFFE81E9DF7}"/>
    <cellStyle name="Millares 11 3 2" xfId="108" xr:uid="{889F7B2F-1229-4ED3-A678-516A305359EA}"/>
    <cellStyle name="Millares 11 4" xfId="48" xr:uid="{114CB452-0C71-4A83-B338-92E7C3F28B6A}"/>
    <cellStyle name="Millares 11 4 2" xfId="126" xr:uid="{ECB150CE-E344-4D05-B8F8-19DBCBC041C9}"/>
    <cellStyle name="Millares 11 5" xfId="66" xr:uid="{473230E7-E49A-422B-BE69-6EB8FC725112}"/>
    <cellStyle name="Millares 11 5 2" xfId="144" xr:uid="{1AE82FCD-7E94-43A5-B0CD-B216ACA20F5C}"/>
    <cellStyle name="Millares 11 6" xfId="90" xr:uid="{3959135E-5460-49F9-8CC4-326AE7E1FD24}"/>
    <cellStyle name="Millares 2" xfId="9" xr:uid="{57761A4B-5A2E-4348-BD5E-D26EE5D4F9BC}"/>
    <cellStyle name="Millares 2 2" xfId="2" xr:uid="{00000000-0005-0000-0000-000001000000}"/>
    <cellStyle name="Millares 2 2 10" xfId="15" xr:uid="{32D8DC8E-EF07-4C66-B74B-1494786F3C02}"/>
    <cellStyle name="Millares 2 2 2" xfId="25" xr:uid="{36A775BF-E272-4626-938C-7EEE3B04EA6E}"/>
    <cellStyle name="Millares 2 2 2 2" xfId="43" xr:uid="{A6B677B8-B2FC-4316-A3F4-9C5453937D53}"/>
    <cellStyle name="Millares 2 2 2 2 2" xfId="121" xr:uid="{0DE6758E-66F2-4FDC-8610-8A4DED0F530C}"/>
    <cellStyle name="Millares 2 2 2 3" xfId="61" xr:uid="{52E05A8A-0728-4368-AF2B-35B507B3FF6A}"/>
    <cellStyle name="Millares 2 2 2 3 2" xfId="139" xr:uid="{E9C33646-E91E-440E-83BA-76C72DE4CCB2}"/>
    <cellStyle name="Millares 2 2 2 4" xfId="79" xr:uid="{845AF67D-B360-4A29-A2D3-F6FFE1E1BFE5}"/>
    <cellStyle name="Millares 2 2 2 4 2" xfId="157" xr:uid="{28335A04-1608-4B9C-BC9A-50928E32A732}"/>
    <cellStyle name="Millares 2 2 2 5" xfId="103" xr:uid="{35EEDE98-49B8-4C11-84C4-2D143034F46F}"/>
    <cellStyle name="Millares 2 2 3" xfId="34" xr:uid="{37737472-F5BB-466C-B011-A5AF01CF6B1F}"/>
    <cellStyle name="Millares 2 2 3 2" xfId="112" xr:uid="{D143230E-C63F-443A-963F-A6EAFC0D1784}"/>
    <cellStyle name="Millares 2 2 4" xfId="52" xr:uid="{4DC14CB9-8115-4065-B872-CE484D8FF5DA}"/>
    <cellStyle name="Millares 2 2 4 2" xfId="130" xr:uid="{23AF96CC-CA36-4BE6-8ADF-2ACFE2851B20}"/>
    <cellStyle name="Millares 2 2 5" xfId="70" xr:uid="{A1E6FC83-7BE5-4EA5-9A78-E36D014D2DB6}"/>
    <cellStyle name="Millares 2 2 5 2" xfId="148" xr:uid="{E7BFF823-19BB-475A-B470-0BA4255FD9B2}"/>
    <cellStyle name="Millares 2 2 6" xfId="85" xr:uid="{2702A1D1-4E3E-40DF-9B39-99394D438DE3}"/>
    <cellStyle name="Millares 2 2 6 2" xfId="163" xr:uid="{274A5F12-28FD-4644-940D-A36527F077B0}"/>
    <cellStyle name="Millares 2 2 7" xfId="87" xr:uid="{A59A52E3-B093-461A-9B92-E89D203C41DC}"/>
    <cellStyle name="Millares 2 2 7 2" xfId="165" xr:uid="{F277ABC2-8B4A-4398-9EEB-598313947976}"/>
    <cellStyle name="Millares 2 2 8" xfId="94" xr:uid="{95DE1F22-7C11-431D-A3AD-8B5290A63A49}"/>
    <cellStyle name="Millares 2 2 9" xfId="167" xr:uid="{158ED9DA-419C-4573-A613-09AC7C32837A}"/>
    <cellStyle name="Millares 2 3" xfId="17" xr:uid="{018FB1B5-BAA2-4EC4-9A13-F459E1842D98}"/>
    <cellStyle name="Millares 2 3 2" xfId="26" xr:uid="{570B6B42-C175-4C05-9795-2061DFDF04B4}"/>
    <cellStyle name="Millares 2 3 2 2" xfId="44" xr:uid="{D2F150C4-1D9D-4B62-9DB3-FED97390A9A9}"/>
    <cellStyle name="Millares 2 3 2 2 2" xfId="122" xr:uid="{D61E0FDE-2A59-4DD0-9AA7-B090C9C1EE62}"/>
    <cellStyle name="Millares 2 3 2 3" xfId="62" xr:uid="{8297A81F-A27E-4FE5-9229-AD65B077F24A}"/>
    <cellStyle name="Millares 2 3 2 3 2" xfId="140" xr:uid="{F8441379-2C08-4903-80FA-F682E6E8B4CD}"/>
    <cellStyle name="Millares 2 3 2 4" xfId="80" xr:uid="{4A1903D3-F919-4B64-AF45-3AFBE6CA28AF}"/>
    <cellStyle name="Millares 2 3 2 4 2" xfId="158" xr:uid="{4CAF1327-FCB1-4B8E-81A6-79CDCA088FD9}"/>
    <cellStyle name="Millares 2 3 2 5" xfId="104" xr:uid="{24497B46-791E-4F71-836D-BCCFB3EECC83}"/>
    <cellStyle name="Millares 2 3 3" xfId="35" xr:uid="{DCC1DF9F-DC87-4A4F-9180-54A8CC017FB4}"/>
    <cellStyle name="Millares 2 3 3 2" xfId="113" xr:uid="{F3B5ED2D-082D-431E-9E1E-110C43EBCCFC}"/>
    <cellStyle name="Millares 2 3 4" xfId="53" xr:uid="{6D35ACFC-EAEB-493B-8071-C947323E7DB3}"/>
    <cellStyle name="Millares 2 3 4 2" xfId="131" xr:uid="{FEAC0014-9B62-4217-BEA5-C767FD91E208}"/>
    <cellStyle name="Millares 2 3 5" xfId="71" xr:uid="{85CBB404-9E64-406B-B3F3-9D69E85EB624}"/>
    <cellStyle name="Millares 2 3 5 2" xfId="149" xr:uid="{41703283-B97D-46C3-8148-E718AD9B8A3C}"/>
    <cellStyle name="Millares 2 3 6" xfId="95" xr:uid="{7F6C2714-A902-42FE-911D-039B968B1B98}"/>
    <cellStyle name="Millares 2 4" xfId="22" xr:uid="{664E4E54-94A2-4358-A24A-C57C14CDFF90}"/>
    <cellStyle name="Millares 2 4 2" xfId="40" xr:uid="{2B152630-75B2-4E61-8C26-01F2008A6A90}"/>
    <cellStyle name="Millares 2 4 2 2" xfId="118" xr:uid="{073E066A-5F2D-44E9-AB05-5B8DBFABEB23}"/>
    <cellStyle name="Millares 2 4 3" xfId="58" xr:uid="{AC526001-98AF-4585-B542-C45F55228131}"/>
    <cellStyle name="Millares 2 4 3 2" xfId="136" xr:uid="{88829DC5-348F-4703-955F-CCCC86B99C25}"/>
    <cellStyle name="Millares 2 4 4" xfId="76" xr:uid="{E32AE70D-5118-436F-8F6E-10D37E4CD29E}"/>
    <cellStyle name="Millares 2 4 4 2" xfId="154" xr:uid="{BA8CED74-87F3-4063-8684-794FB731DEBA}"/>
    <cellStyle name="Millares 2 4 5" xfId="100" xr:uid="{75318071-2C45-48ED-B662-7610C7A0F9AF}"/>
    <cellStyle name="Millares 2 5" xfId="31" xr:uid="{D38D3DAC-208B-40E5-9BF1-7619BA099BC8}"/>
    <cellStyle name="Millares 2 5 2" xfId="109" xr:uid="{0F2817E5-6F27-40C9-A2D6-6464D17444C6}"/>
    <cellStyle name="Millares 2 6" xfId="49" xr:uid="{D7CDC7BF-2802-4BEC-8A87-77669A9475D3}"/>
    <cellStyle name="Millares 2 6 2" xfId="127" xr:uid="{B0E0AAF0-B392-4DAD-B0E0-F0FC3C831C0D}"/>
    <cellStyle name="Millares 2 7" xfId="67" xr:uid="{445E5BB5-5321-4912-9F8D-93EE7A3E6590}"/>
    <cellStyle name="Millares 2 7 2" xfId="145" xr:uid="{A6180200-FB54-4A6A-B041-27E2B930B23B}"/>
    <cellStyle name="Millares 2 8" xfId="83" xr:uid="{C17F9744-0557-4360-95C1-7266A7909F94}"/>
    <cellStyle name="Millares 2 8 2" xfId="161" xr:uid="{38E84C8E-AF44-4922-8D04-CAC6ED350CDC}"/>
    <cellStyle name="Millares 2 9" xfId="91" xr:uid="{321B75FE-B8FF-40D6-8D9F-C80296ECB532}"/>
    <cellStyle name="Millares 3" xfId="18" xr:uid="{9E9F6F0F-648E-45BB-B9A4-2C0CB30600B2}"/>
    <cellStyle name="Millares 3 2" xfId="10" xr:uid="{0D47828F-CC2D-4ABE-8E91-99EB96AC99B9}"/>
    <cellStyle name="Millares 3 2 2" xfId="23" xr:uid="{DC0D22CE-7C89-40F9-940A-95897B0E4DC9}"/>
    <cellStyle name="Millares 3 2 2 2" xfId="41" xr:uid="{A01885ED-4020-4470-A235-B977B3C0E31B}"/>
    <cellStyle name="Millares 3 2 2 2 2" xfId="119" xr:uid="{87955891-AAAF-4BB8-879E-8F2B21D72A0A}"/>
    <cellStyle name="Millares 3 2 2 3" xfId="59" xr:uid="{4760E02B-821C-49B0-931D-A0325199D626}"/>
    <cellStyle name="Millares 3 2 2 3 2" xfId="137" xr:uid="{CB80AD88-CD51-4973-8022-EBDCFDA80DA5}"/>
    <cellStyle name="Millares 3 2 2 4" xfId="77" xr:uid="{E9743662-8830-4553-AC5B-9C36549392A3}"/>
    <cellStyle name="Millares 3 2 2 4 2" xfId="155" xr:uid="{ABB8732D-848B-4372-B9CC-70FBFB1B1E76}"/>
    <cellStyle name="Millares 3 2 2 5" xfId="101" xr:uid="{C13875B3-9FC6-448F-BB7D-5655FDB05D54}"/>
    <cellStyle name="Millares 3 2 3" xfId="32" xr:uid="{48278629-6FAA-4615-AA47-A228FFBAAB76}"/>
    <cellStyle name="Millares 3 2 3 2" xfId="110" xr:uid="{EC97B659-3C39-449F-BA8F-8DD2716DE46B}"/>
    <cellStyle name="Millares 3 2 4" xfId="50" xr:uid="{2BC43C13-1721-437E-A14E-B410358499FD}"/>
    <cellStyle name="Millares 3 2 4 2" xfId="128" xr:uid="{1FA00ECC-DFF1-4D38-9514-3ADB42655413}"/>
    <cellStyle name="Millares 3 2 5" xfId="68" xr:uid="{FDCD4ED0-6267-4065-B486-98165BF8F58A}"/>
    <cellStyle name="Millares 3 2 5 2" xfId="146" xr:uid="{802C08BE-9041-4ADF-9A01-5BFD5A3CA6D5}"/>
    <cellStyle name="Millares 3 2 6" xfId="86" xr:uid="{67548169-D6BB-4F39-BEEB-350F6E43151D}"/>
    <cellStyle name="Millares 3 2 6 2" xfId="164" xr:uid="{5E89DA16-56EC-4BB7-8B07-3D715A607663}"/>
    <cellStyle name="Millares 3 2 7" xfId="88" xr:uid="{94956F95-6C75-47B4-B3FF-88230F0D272A}"/>
    <cellStyle name="Millares 3 2 7 2" xfId="166" xr:uid="{134BEE31-E6A7-48B5-A54F-7276AFF20855}"/>
    <cellStyle name="Millares 3 2 8" xfId="92" xr:uid="{6018C562-A020-495D-8DCB-106F6B440E94}"/>
    <cellStyle name="Millares 3 3" xfId="27" xr:uid="{A70AC9BC-50B1-4BFF-96CA-BA883F01821B}"/>
    <cellStyle name="Millares 3 3 2" xfId="45" xr:uid="{C88DA597-0179-4EC9-B86A-F7810CA0EF38}"/>
    <cellStyle name="Millares 3 3 2 2" xfId="123" xr:uid="{4F93F14E-F900-43BB-88ED-84B98F01DE39}"/>
    <cellStyle name="Millares 3 3 3" xfId="63" xr:uid="{70813A15-172A-483E-92E8-4CB8E450EB50}"/>
    <cellStyle name="Millares 3 3 3 2" xfId="141" xr:uid="{6DC75C4F-61C7-4BCA-8B8C-53AC0B26D158}"/>
    <cellStyle name="Millares 3 3 4" xfId="81" xr:uid="{A71E2709-1E61-46B1-A1BA-A634C004EC8A}"/>
    <cellStyle name="Millares 3 3 4 2" xfId="159" xr:uid="{93073F1B-6603-4317-9D50-203E47762D0C}"/>
    <cellStyle name="Millares 3 3 5" xfId="105" xr:uid="{A12E5FC7-536C-48DB-86AC-BF8895F42803}"/>
    <cellStyle name="Millares 3 4" xfId="36" xr:uid="{D29F1458-CA90-411D-AA45-4F0ED7C4C33E}"/>
    <cellStyle name="Millares 3 4 2" xfId="114" xr:uid="{BE6CD233-EA47-456D-A065-9DE0FDEAB2A0}"/>
    <cellStyle name="Millares 3 5" xfId="54" xr:uid="{AEC8463B-21AF-47CF-BEC1-98D9E0AB913B}"/>
    <cellStyle name="Millares 3 5 2" xfId="132" xr:uid="{2EB6C8B6-3220-4374-ABB6-13F1F259969C}"/>
    <cellStyle name="Millares 3 6" xfId="72" xr:uid="{582252EF-7510-44B1-B94A-FFBED6BDCBFA}"/>
    <cellStyle name="Millares 3 6 2" xfId="150" xr:uid="{78F30D65-6DEE-4D71-8802-FE3D6C4AD918}"/>
    <cellStyle name="Millares 3 7" xfId="96" xr:uid="{E3CD1C5E-4445-48EC-876D-E60368BC6132}"/>
    <cellStyle name="Millares 4" xfId="20" xr:uid="{FAE5C678-EE58-4615-A9DD-F61CCF05613A}"/>
    <cellStyle name="Millares 4 2" xfId="38" xr:uid="{5DEA9D0C-AF66-454F-912A-AD8F48DE02A7}"/>
    <cellStyle name="Millares 4 2 2" xfId="116" xr:uid="{ED74FC3D-9828-4FF2-B2A2-A77D5AE13DB9}"/>
    <cellStyle name="Millares 4 3" xfId="56" xr:uid="{81895EB2-1A51-44DB-ABA8-4116A3C2ACEC}"/>
    <cellStyle name="Millares 4 3 2" xfId="134" xr:uid="{9CAC7A20-17C5-43A6-9DB5-5ECC18E3D01E}"/>
    <cellStyle name="Millares 4 4" xfId="74" xr:uid="{8C32056C-F0BE-40EA-B6B5-1FAF86E46894}"/>
    <cellStyle name="Millares 4 4 2" xfId="152" xr:uid="{59631ADD-9A55-4B40-A17B-22C0DA9747A6}"/>
    <cellStyle name="Millares 4 5" xfId="98" xr:uid="{92702EC6-647A-4C1F-B3EB-90E3D6273364}"/>
    <cellStyle name="Millares 5" xfId="29" xr:uid="{5ABE9785-6655-4674-AC17-9A0405CD6B28}"/>
    <cellStyle name="Millares 5 2" xfId="107" xr:uid="{516C0312-57F8-4193-9F8D-E12A818437EF}"/>
    <cellStyle name="Millares 6" xfId="47" xr:uid="{24BE51DC-279D-4B84-83FC-1E5A9DEF0187}"/>
    <cellStyle name="Millares 6 2" xfId="125" xr:uid="{F587539C-DF59-4EBC-84ED-0F176C36A200}"/>
    <cellStyle name="Millares 7" xfId="65" xr:uid="{E85086E9-FF3E-474F-ACAA-8B84216A9755}"/>
    <cellStyle name="Millares 7 2" xfId="143" xr:uid="{C8223671-EF89-4276-BCF1-D50AA87DA373}"/>
    <cellStyle name="Millares 8" xfId="89" xr:uid="{E9929892-5F2F-4C7A-9A83-008A598EA5B2}"/>
    <cellStyle name="Moneda 2" xfId="13" xr:uid="{87394807-0172-4346-9751-1A7B6502406F}"/>
    <cellStyle name="Moneda 2 2" xfId="24" xr:uid="{C1D9B3E8-C76E-4882-928B-2847E23642F5}"/>
    <cellStyle name="Moneda 2 2 2" xfId="42" xr:uid="{93609D02-606F-4863-A30A-7F37142E708F}"/>
    <cellStyle name="Moneda 2 2 2 2" xfId="120" xr:uid="{545101B0-D4BD-4E66-9868-064E7BB708D0}"/>
    <cellStyle name="Moneda 2 2 3" xfId="60" xr:uid="{CBEABF9B-9F3A-4C22-955B-2B54C4814004}"/>
    <cellStyle name="Moneda 2 2 3 2" xfId="138" xr:uid="{A2C92409-301B-4271-A5E5-7DF548CC47DC}"/>
    <cellStyle name="Moneda 2 2 4" xfId="78" xr:uid="{200672A9-439F-4B9E-93E9-B94DD475A2D0}"/>
    <cellStyle name="Moneda 2 2 4 2" xfId="156" xr:uid="{C2BAE4C6-A3CD-426C-9794-A0B20D9A9726}"/>
    <cellStyle name="Moneda 2 2 5" xfId="102" xr:uid="{FF36F5FE-6637-4876-ACD4-B37A373DA1C9}"/>
    <cellStyle name="Moneda 2 3" xfId="33" xr:uid="{5D2944A3-41B0-4D84-BCC2-F633EDD0BAA8}"/>
    <cellStyle name="Moneda 2 3 2" xfId="111" xr:uid="{E99D0ADD-B870-479E-BC55-AABACD1DA182}"/>
    <cellStyle name="Moneda 2 4" xfId="51" xr:uid="{01BC8635-9C95-480B-BD59-E0111BD55B41}"/>
    <cellStyle name="Moneda 2 4 2" xfId="129" xr:uid="{F789CE9B-3603-436B-B9AF-3B900E091C50}"/>
    <cellStyle name="Moneda 2 5" xfId="69" xr:uid="{AE6E44BC-AB18-49E1-9722-2F29E0A09808}"/>
    <cellStyle name="Moneda 2 5 2" xfId="147" xr:uid="{D2B73F24-3A6E-4B93-82BD-7FAD590C5DC9}"/>
    <cellStyle name="Moneda 2 6" xfId="84" xr:uid="{C4282F0A-3DF9-4B0F-9AB9-02BDAEA44875}"/>
    <cellStyle name="Moneda 2 6 2" xfId="162" xr:uid="{5C96EC60-05A9-4063-9B1A-7E27AE3D2E90}"/>
    <cellStyle name="Moneda 2 7" xfId="93" xr:uid="{89F7BFEA-6AF1-46B5-BBCA-283A55100C23}"/>
    <cellStyle name="Moneda 3" xfId="19" xr:uid="{5ADE6B85-0881-45E1-8C6A-C7B156FC54B9}"/>
    <cellStyle name="Moneda 3 2" xfId="28" xr:uid="{67C31B7D-EC76-45C5-9868-776A0BE1FFA6}"/>
    <cellStyle name="Moneda 3 2 2" xfId="46" xr:uid="{CBA15E7A-4749-40F8-96A1-C2DD8803AEAE}"/>
    <cellStyle name="Moneda 3 2 2 2" xfId="124" xr:uid="{FC22D921-DCAA-475B-A218-3FEE83B0D6C3}"/>
    <cellStyle name="Moneda 3 2 3" xfId="64" xr:uid="{834F457D-7B27-46CB-9887-CA479E195E17}"/>
    <cellStyle name="Moneda 3 2 3 2" xfId="142" xr:uid="{3EEAA471-DC87-4ED7-BBC9-22EAFCD4A2EA}"/>
    <cellStyle name="Moneda 3 2 4" xfId="82" xr:uid="{3675B5E3-C004-4791-BE75-40AEDE38ACCC}"/>
    <cellStyle name="Moneda 3 2 4 2" xfId="160" xr:uid="{85A8DF2F-CECD-442E-8C38-553AC8421596}"/>
    <cellStyle name="Moneda 3 2 5" xfId="106" xr:uid="{6D06FDAC-5A4E-4D4F-A0F9-80C8F3589177}"/>
    <cellStyle name="Moneda 3 3" xfId="37" xr:uid="{D7BC2B73-8479-4DD4-91E0-3BF6B736BECB}"/>
    <cellStyle name="Moneda 3 3 2" xfId="115" xr:uid="{942D2A13-5A5D-4E85-8071-24AAE93FC2C3}"/>
    <cellStyle name="Moneda 3 4" xfId="55" xr:uid="{590188DC-50B4-4D3B-AE08-F3D9DECAA383}"/>
    <cellStyle name="Moneda 3 4 2" xfId="133" xr:uid="{A5686D52-709E-4FD1-B47E-0E0A72EB5890}"/>
    <cellStyle name="Moneda 3 5" xfId="73" xr:uid="{1F204FC0-30B5-4213-B3B5-06EF997BF62C}"/>
    <cellStyle name="Moneda 3 5 2" xfId="151" xr:uid="{B2B2EF17-ACFB-431E-BEE8-C7601811A150}"/>
    <cellStyle name="Moneda 3 6" xfId="97" xr:uid="{80CE72EB-C885-440C-8B35-0BDE47085421}"/>
    <cellStyle name="Normal" xfId="0" builtinId="0"/>
    <cellStyle name="Normal 2" xfId="3" xr:uid="{00000000-0005-0000-0000-000004000000}"/>
    <cellStyle name="Normal 2 2" xfId="1" xr:uid="{00000000-0005-0000-0000-000005000000}"/>
    <cellStyle name="Normal 2 2 2" xfId="16" xr:uid="{F947D406-0E39-49FD-BF90-82862EAC201E}"/>
    <cellStyle name="Normal 2 2 3" xfId="14" xr:uid="{DDE57197-CCDE-4BF9-8E02-906CF5C264FC}"/>
    <cellStyle name="Normal 2 2 4" xfId="7" xr:uid="{8A584A45-5925-436C-971F-D771E5DC8772}"/>
    <cellStyle name="Normal 2 3" xfId="12" xr:uid="{2B8CFA10-E89F-4DF4-88BA-C9006FBD254C}"/>
    <cellStyle name="Normal 2 4" xfId="11" xr:uid="{AB62C9D9-5921-43EA-B75A-9EC1890E7B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8"/>
  <sheetViews>
    <sheetView showGridLines="0" topLeftCell="S1" workbookViewId="0">
      <selection activeCell="Z4" sqref="Z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39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3366.4</v>
      </c>
      <c r="R4" s="23"/>
      <c r="S4" s="23"/>
      <c r="T4" s="23"/>
      <c r="U4" s="28">
        <v>1120</v>
      </c>
      <c r="V4" s="24">
        <f t="shared" ref="V4:V13" si="0">C4-Q4-S4+U4-R4-T4</f>
        <v>1253.5999999999999</v>
      </c>
      <c r="W4" s="25">
        <f>Q4+V4</f>
        <v>4620</v>
      </c>
      <c r="X4" s="40" t="s">
        <v>26</v>
      </c>
      <c r="Y4" s="49">
        <f>+V4*0.1</f>
        <v>125.36</v>
      </c>
      <c r="Z4" s="49">
        <f>+Y4*1.08</f>
        <v>135.3888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:F6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3255.2</v>
      </c>
      <c r="R5" s="27"/>
      <c r="S5" s="26"/>
      <c r="T5" s="26"/>
      <c r="U5" s="28"/>
      <c r="V5" s="24">
        <f t="shared" si="0"/>
        <v>1744.8000000000002</v>
      </c>
      <c r="W5" s="25">
        <f t="shared" ref="W5:W13" si="4">Q5+V5</f>
        <v>5000</v>
      </c>
      <c r="X5" s="40">
        <v>2</v>
      </c>
      <c r="Y5" s="49">
        <f>+V5*0.1</f>
        <v>174.48000000000002</v>
      </c>
      <c r="Z5" s="49">
        <f t="shared" ref="Z5:Z13" si="5">+Y5*1.08</f>
        <v>188.43840000000003</v>
      </c>
    </row>
    <row r="6" spans="1:27" ht="15.75" thickBot="1" x14ac:dyDescent="0.3">
      <c r="A6" s="42">
        <v>16</v>
      </c>
      <c r="B6" s="46" t="s">
        <v>21</v>
      </c>
      <c r="C6" s="44">
        <v>3255.2</v>
      </c>
      <c r="D6" s="6">
        <v>419.88</v>
      </c>
      <c r="E6" s="7">
        <f t="shared" si="1"/>
        <v>2519.2799999999997</v>
      </c>
      <c r="F6" s="8">
        <f t="shared" si="2"/>
        <v>419.88</v>
      </c>
      <c r="G6" s="13">
        <v>250</v>
      </c>
      <c r="H6" s="13">
        <f>($E$6+$F$6)*0.1</f>
        <v>293.916</v>
      </c>
      <c r="I6" s="13">
        <f>($E$6+$F$6)*0.1</f>
        <v>293.916</v>
      </c>
      <c r="J6" s="13">
        <v>0</v>
      </c>
      <c r="K6" s="13">
        <v>0</v>
      </c>
      <c r="L6" s="34">
        <f t="shared" si="3"/>
        <v>2939.16</v>
      </c>
      <c r="M6" s="30"/>
      <c r="N6" s="15"/>
      <c r="O6" s="14"/>
      <c r="P6" s="14"/>
      <c r="Q6" s="19">
        <v>3255.2</v>
      </c>
      <c r="R6" s="27"/>
      <c r="S6" s="26"/>
      <c r="T6" s="26"/>
      <c r="U6" s="28"/>
      <c r="V6" s="24">
        <v>0</v>
      </c>
      <c r="W6" s="25">
        <f>Q6+V6</f>
        <v>3255.2</v>
      </c>
      <c r="X6" s="40" t="s">
        <v>30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25</v>
      </c>
      <c r="B7" s="46" t="s">
        <v>31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2870</v>
      </c>
      <c r="R7" s="27">
        <v>525</v>
      </c>
      <c r="S7" s="26">
        <v>105</v>
      </c>
      <c r="T7" s="26"/>
      <c r="U7" s="28"/>
      <c r="V7" s="24">
        <f t="shared" si="0"/>
        <v>0</v>
      </c>
      <c r="W7" s="25">
        <f t="shared" si="4"/>
        <v>2870</v>
      </c>
      <c r="X7" s="40" t="s">
        <v>26</v>
      </c>
      <c r="Y7" s="49">
        <f t="shared" si="6"/>
        <v>0</v>
      </c>
      <c r="Z7" s="49">
        <f t="shared" si="5"/>
        <v>0</v>
      </c>
    </row>
    <row r="8" spans="1:27" ht="15.75" thickBot="1" x14ac:dyDescent="0.3">
      <c r="A8" s="42">
        <v>26</v>
      </c>
      <c r="B8" s="47" t="s">
        <v>32</v>
      </c>
      <c r="C8" s="44">
        <v>3500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3000</v>
      </c>
      <c r="R8" s="27"/>
      <c r="S8" s="26">
        <v>0</v>
      </c>
      <c r="T8" s="26">
        <v>500</v>
      </c>
      <c r="U8" s="28"/>
      <c r="V8" s="24">
        <f t="shared" si="0"/>
        <v>0</v>
      </c>
      <c r="W8" s="25">
        <f t="shared" si="4"/>
        <v>3000</v>
      </c>
      <c r="X8" s="40" t="s">
        <v>30</v>
      </c>
      <c r="Y8" s="49">
        <f t="shared" si="6"/>
        <v>0</v>
      </c>
      <c r="Z8" s="49">
        <f t="shared" si="5"/>
        <v>0</v>
      </c>
    </row>
    <row r="9" spans="1:27" ht="15.75" thickBot="1" x14ac:dyDescent="0.3">
      <c r="A9" s="42">
        <v>27</v>
      </c>
      <c r="B9" s="47" t="s">
        <v>33</v>
      </c>
      <c r="C9" s="44">
        <v>5000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3255.2</v>
      </c>
      <c r="R9" s="27">
        <v>600</v>
      </c>
      <c r="S9" s="26">
        <v>105</v>
      </c>
      <c r="T9" s="26"/>
      <c r="U9" s="28"/>
      <c r="V9" s="24">
        <f t="shared" si="0"/>
        <v>1039.8000000000002</v>
      </c>
      <c r="W9" s="25">
        <f t="shared" si="4"/>
        <v>4295</v>
      </c>
      <c r="X9" s="40" t="s">
        <v>26</v>
      </c>
      <c r="Y9" s="49">
        <f t="shared" si="6"/>
        <v>103.98000000000002</v>
      </c>
      <c r="Z9" s="49">
        <f t="shared" si="5"/>
        <v>112.29840000000003</v>
      </c>
    </row>
    <row r="10" spans="1:27" ht="15.75" thickBot="1" x14ac:dyDescent="0.3">
      <c r="A10" s="42">
        <v>28</v>
      </c>
      <c r="B10" s="47" t="s">
        <v>34</v>
      </c>
      <c r="C10" s="44">
        <v>3255.2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2462.1999999999998</v>
      </c>
      <c r="R10" s="27">
        <v>0.09</v>
      </c>
      <c r="S10" s="26"/>
      <c r="T10" s="48">
        <v>588.71</v>
      </c>
      <c r="U10" s="28"/>
      <c r="V10" s="24">
        <f t="shared" si="0"/>
        <v>204.19999999999993</v>
      </c>
      <c r="W10" s="25">
        <f t="shared" si="4"/>
        <v>2666.3999999999996</v>
      </c>
      <c r="X10" s="40" t="s">
        <v>35</v>
      </c>
      <c r="Y10" s="49">
        <f t="shared" si="6"/>
        <v>20.419999999999995</v>
      </c>
      <c r="Z10" s="49">
        <f t="shared" si="5"/>
        <v>22.053599999999996</v>
      </c>
    </row>
    <row r="11" spans="1:27" ht="15.75" thickBot="1" x14ac:dyDescent="0.3">
      <c r="A11" s="42">
        <v>33</v>
      </c>
      <c r="B11" s="47" t="s">
        <v>36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2932.2</v>
      </c>
      <c r="R11" s="27"/>
      <c r="S11" s="26"/>
      <c r="T11" s="26"/>
      <c r="U11" s="28"/>
      <c r="V11" s="24">
        <f t="shared" si="0"/>
        <v>1067.8000000000002</v>
      </c>
      <c r="W11" s="25">
        <f t="shared" si="4"/>
        <v>4000</v>
      </c>
      <c r="X11" s="40" t="s">
        <v>35</v>
      </c>
      <c r="Y11" s="49">
        <f t="shared" si="6"/>
        <v>106.78000000000003</v>
      </c>
      <c r="Z11" s="49">
        <f t="shared" si="5"/>
        <v>115.32240000000004</v>
      </c>
    </row>
    <row r="12" spans="1:27" ht="15.75" thickBot="1" x14ac:dyDescent="0.3">
      <c r="A12" s="42">
        <v>34</v>
      </c>
      <c r="B12" s="47" t="s">
        <v>37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3255.2</v>
      </c>
      <c r="R12" s="27">
        <v>525</v>
      </c>
      <c r="S12" s="26">
        <v>35</v>
      </c>
      <c r="T12" s="26"/>
      <c r="U12" s="28"/>
      <c r="V12" s="24">
        <f t="shared" ref="V12" si="7">C12-Q12-S12+U12-R12-T12</f>
        <v>184.80000000000018</v>
      </c>
      <c r="W12" s="25">
        <f t="shared" ref="W12" si="8">Q12+V12</f>
        <v>3440</v>
      </c>
      <c r="X12" s="40" t="s">
        <v>35</v>
      </c>
      <c r="Y12" s="49">
        <f t="shared" ref="Y12" si="9">+V12*0.1</f>
        <v>18.480000000000018</v>
      </c>
      <c r="Z12" s="49">
        <f t="shared" ref="Z12" si="10">+Y12*1.08</f>
        <v>19.958400000000022</v>
      </c>
    </row>
    <row r="13" spans="1:27" ht="15.75" thickBot="1" x14ac:dyDescent="0.3">
      <c r="A13" s="42">
        <v>35</v>
      </c>
      <c r="B13" s="47" t="s">
        <v>38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3145</v>
      </c>
      <c r="R13" s="27"/>
      <c r="S13" s="26">
        <v>0</v>
      </c>
      <c r="T13" s="26"/>
      <c r="U13" s="28"/>
      <c r="V13" s="24">
        <f t="shared" si="0"/>
        <v>855</v>
      </c>
      <c r="W13" s="25">
        <f t="shared" si="4"/>
        <v>4000</v>
      </c>
      <c r="X13" s="40" t="s">
        <v>35</v>
      </c>
      <c r="Y13" s="49">
        <f t="shared" si="6"/>
        <v>85.5</v>
      </c>
      <c r="Z13" s="49">
        <f t="shared" si="5"/>
        <v>92.34</v>
      </c>
    </row>
    <row r="14" spans="1:27" ht="15.75" thickBot="1" x14ac:dyDescent="0.3">
      <c r="A14" s="36"/>
      <c r="B14" s="37"/>
      <c r="C14" s="38">
        <f>SUM(C4:C13)</f>
        <v>39010.400000000001</v>
      </c>
      <c r="D14" s="35">
        <f>SUM(D4:D13)</f>
        <v>4198.8</v>
      </c>
      <c r="E14" s="20">
        <f t="shared" ref="E14:K14" si="11">SUM(E4:E6)</f>
        <v>7557.8399999999992</v>
      </c>
      <c r="F14" s="20">
        <f t="shared" si="11"/>
        <v>1259.6399999999999</v>
      </c>
      <c r="G14" s="20">
        <f t="shared" si="11"/>
        <v>750</v>
      </c>
      <c r="H14" s="20">
        <f t="shared" si="11"/>
        <v>881.74800000000005</v>
      </c>
      <c r="I14" s="20">
        <f t="shared" si="11"/>
        <v>881.74800000000005</v>
      </c>
      <c r="J14" s="20">
        <f t="shared" si="11"/>
        <v>312.41000000000003</v>
      </c>
      <c r="K14" s="20">
        <f t="shared" si="11"/>
        <v>78.11</v>
      </c>
      <c r="L14" s="35">
        <f>SUM(L4:L13)</f>
        <v>29391.599999999999</v>
      </c>
      <c r="M14" s="20">
        <f>SUM(M4:M6)</f>
        <v>0</v>
      </c>
      <c r="N14" s="20">
        <f>SUM(N4:N6)</f>
        <v>0</v>
      </c>
      <c r="O14" s="20">
        <f>SUM(O4:O6)</f>
        <v>399.93</v>
      </c>
      <c r="P14" s="20">
        <f>SUM(P4:P6)</f>
        <v>0.06</v>
      </c>
      <c r="Q14" s="20">
        <f>SUM(Q4:Q13)</f>
        <v>30796.600000000002</v>
      </c>
      <c r="R14" s="20">
        <f t="shared" ref="R14:W14" si="12">SUM(R4:R13)</f>
        <v>1650.09</v>
      </c>
      <c r="S14" s="20">
        <f t="shared" si="12"/>
        <v>245</v>
      </c>
      <c r="T14" s="20">
        <f t="shared" si="12"/>
        <v>1088.71</v>
      </c>
      <c r="U14" s="20">
        <f>SUM(U4:U13)</f>
        <v>1120</v>
      </c>
      <c r="V14" s="20">
        <f>SUM(V4:V13)</f>
        <v>6350.0000000000009</v>
      </c>
      <c r="W14" s="20">
        <f t="shared" si="12"/>
        <v>37146.6</v>
      </c>
      <c r="Y14" s="20">
        <f>SUM(Y4:Y13)</f>
        <v>635.00000000000011</v>
      </c>
      <c r="Z14" s="20">
        <f>SUM(Z4:Z13)</f>
        <v>685.80000000000018</v>
      </c>
      <c r="AA14" s="10">
        <f>SUM(Z14+W14)</f>
        <v>37832.400000000001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18"/>
  <sheetViews>
    <sheetView showGridLines="0" topLeftCell="C1" workbookViewId="0">
      <selection activeCell="S16" sqref="S16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1030</v>
      </c>
      <c r="V4" s="24">
        <f t="shared" ref="V4:V12" si="0">C4-Q4-S4+U4-R4-T4</f>
        <v>1175.8000000000002</v>
      </c>
      <c r="W4" s="25">
        <f>Q4+V4</f>
        <v>4530</v>
      </c>
      <c r="X4" s="40" t="s">
        <v>26</v>
      </c>
      <c r="Y4" s="49">
        <f>+V4*0.1</f>
        <v>117.58000000000003</v>
      </c>
      <c r="Z4" s="49">
        <f>+Y4*1.08</f>
        <v>126.98640000000003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3469.6</v>
      </c>
      <c r="R5" s="27"/>
      <c r="S5" s="26"/>
      <c r="T5" s="26"/>
      <c r="U5" s="28">
        <v>535.71</v>
      </c>
      <c r="V5" s="24">
        <f t="shared" si="0"/>
        <v>2066.11</v>
      </c>
      <c r="W5" s="25">
        <f t="shared" ref="W5:W13" si="4">Q5+V5</f>
        <v>5535.71</v>
      </c>
      <c r="X5" s="40">
        <v>2</v>
      </c>
      <c r="Y5" s="49">
        <f>+V5*0.1</f>
        <v>206.61100000000002</v>
      </c>
      <c r="Z5" s="49">
        <f t="shared" ref="Z5:Z13" si="5">+Y5*1.08</f>
        <v>223.13988000000003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3275</v>
      </c>
      <c r="R6" s="27">
        <v>225</v>
      </c>
      <c r="S6" s="26">
        <v>0</v>
      </c>
      <c r="T6" s="26"/>
      <c r="U6" s="28"/>
      <c r="V6" s="24">
        <f t="shared" si="0"/>
        <v>0</v>
      </c>
      <c r="W6" s="25">
        <f t="shared" si="4"/>
        <v>3275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3354.4</v>
      </c>
      <c r="R7" s="27"/>
      <c r="S7" s="26">
        <v>0</v>
      </c>
      <c r="T7" s="26"/>
      <c r="U7" s="28"/>
      <c r="V7" s="24">
        <f t="shared" si="0"/>
        <v>145.59999999999991</v>
      </c>
      <c r="W7" s="25">
        <f t="shared" si="4"/>
        <v>3500</v>
      </c>
      <c r="X7" s="40" t="s">
        <v>30</v>
      </c>
      <c r="Y7" s="49">
        <f t="shared" si="6"/>
        <v>14.559999999999992</v>
      </c>
      <c r="Z7" s="49">
        <f t="shared" si="5"/>
        <v>15.724799999999991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6"/>
      <c r="U8" s="28"/>
      <c r="V8" s="24">
        <f t="shared" si="0"/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2680.8</v>
      </c>
      <c r="R9" s="27"/>
      <c r="S9" s="26"/>
      <c r="T9" s="48">
        <v>588.71</v>
      </c>
      <c r="U9" s="28"/>
      <c r="V9" s="24">
        <f t="shared" si="0"/>
        <v>84.489999999999782</v>
      </c>
      <c r="W9" s="25">
        <f t="shared" si="4"/>
        <v>2765.29</v>
      </c>
      <c r="X9" s="40" t="s">
        <v>35</v>
      </c>
      <c r="Y9" s="49">
        <f t="shared" si="6"/>
        <v>8.4489999999999785</v>
      </c>
      <c r="Z9" s="49">
        <f t="shared" si="5"/>
        <v>9.1249199999999782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>
        <v>0</v>
      </c>
      <c r="T11" s="26"/>
      <c r="U11" s="28"/>
      <c r="V11" s="24">
        <f t="shared" si="0"/>
        <v>270.80000000000018</v>
      </c>
      <c r="W11" s="25">
        <f t="shared" si="4"/>
        <v>3625</v>
      </c>
      <c r="X11" s="40" t="s">
        <v>35</v>
      </c>
      <c r="Y11" s="49">
        <f t="shared" si="6"/>
        <v>27.08000000000002</v>
      </c>
      <c r="Z11" s="49">
        <f t="shared" si="5"/>
        <v>29.246400000000023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2879</v>
      </c>
      <c r="R13" s="27"/>
      <c r="S13" s="26">
        <v>0</v>
      </c>
      <c r="T13" s="26">
        <v>560.6</v>
      </c>
      <c r="U13" s="28"/>
      <c r="V13" s="24"/>
      <c r="W13" s="25">
        <f t="shared" si="4"/>
        <v>2879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32640</v>
      </c>
      <c r="R14" s="20">
        <f t="shared" ref="R14:W14" si="8">SUM(R4:R13)</f>
        <v>975</v>
      </c>
      <c r="S14" s="20">
        <f t="shared" si="8"/>
        <v>140</v>
      </c>
      <c r="T14" s="20">
        <f t="shared" si="8"/>
        <v>1149.31</v>
      </c>
      <c r="U14" s="20">
        <f>SUM(U4:U13)</f>
        <v>1565.71</v>
      </c>
      <c r="V14" s="20">
        <f>SUM(V4:V13)</f>
        <v>5955.0000000000009</v>
      </c>
      <c r="W14" s="20">
        <f t="shared" si="8"/>
        <v>38595</v>
      </c>
      <c r="Y14" s="20">
        <f>SUM(Y4:Y13)</f>
        <v>595.50000000000011</v>
      </c>
      <c r="Z14" s="20">
        <f>SUM(Z4:Z13)</f>
        <v>643.14000000000021</v>
      </c>
      <c r="AA14" s="10">
        <f>SUM(Z14+W14)</f>
        <v>39238.14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A19"/>
  <sheetViews>
    <sheetView showGridLines="0" workbookViewId="0">
      <selection activeCell="Q15" sqref="Q1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1390</v>
      </c>
      <c r="V4" s="24">
        <f t="shared" ref="V4:V14" si="0">C4-Q4-S4+U4-R4-T4</f>
        <v>1535.6</v>
      </c>
      <c r="W4" s="25">
        <f>Q4+V4</f>
        <v>4890</v>
      </c>
      <c r="X4" s="40" t="s">
        <v>26</v>
      </c>
      <c r="Y4" s="49">
        <f>+V4*0.1</f>
        <v>153.56</v>
      </c>
      <c r="Z4" s="49">
        <f>+Y4*1.08</f>
        <v>165.84480000000002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/>
      <c r="U5" s="28"/>
      <c r="V5" s="24">
        <f t="shared" si="0"/>
        <v>1645.6</v>
      </c>
      <c r="W5" s="25">
        <f t="shared" ref="W5:W14" si="4">Q5+V5</f>
        <v>5000</v>
      </c>
      <c r="X5" s="40">
        <v>2</v>
      </c>
      <c r="Y5" s="49">
        <f>+V5*0.1</f>
        <v>164.56</v>
      </c>
      <c r="Z5" s="49">
        <f t="shared" ref="Z5:Z14" si="5">+Y5*1.08</f>
        <v>177.72480000000002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3200</v>
      </c>
      <c r="R6" s="27">
        <v>300</v>
      </c>
      <c r="S6" s="26">
        <v>0</v>
      </c>
      <c r="T6" s="26"/>
      <c r="U6" s="28"/>
      <c r="V6" s="24">
        <f t="shared" si="0"/>
        <v>0</v>
      </c>
      <c r="W6" s="25">
        <f t="shared" si="4"/>
        <v>3200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2879</v>
      </c>
      <c r="R7" s="27"/>
      <c r="S7" s="26">
        <v>0</v>
      </c>
      <c r="T7" s="26">
        <v>585</v>
      </c>
      <c r="U7" s="28"/>
      <c r="V7" s="24">
        <f t="shared" si="0"/>
        <v>36</v>
      </c>
      <c r="W7" s="25">
        <f t="shared" si="4"/>
        <v>2915</v>
      </c>
      <c r="X7" s="40" t="s">
        <v>30</v>
      </c>
      <c r="Y7" s="49">
        <f t="shared" si="6"/>
        <v>3.6</v>
      </c>
      <c r="Z7" s="49">
        <f t="shared" si="5"/>
        <v>3.8880000000000003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>
        <v>140</v>
      </c>
      <c r="T8" s="26"/>
      <c r="U8" s="28"/>
      <c r="V8" s="24">
        <f t="shared" si="0"/>
        <v>1205.8000000000002</v>
      </c>
      <c r="W8" s="25">
        <f t="shared" si="4"/>
        <v>4560</v>
      </c>
      <c r="X8" s="40" t="s">
        <v>26</v>
      </c>
      <c r="Y8" s="49">
        <f t="shared" si="6"/>
        <v>120.58000000000003</v>
      </c>
      <c r="Z8" s="49">
        <f t="shared" si="5"/>
        <v>130.22640000000004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300</v>
      </c>
      <c r="S11" s="26">
        <v>0</v>
      </c>
      <c r="T11" s="26"/>
      <c r="U11" s="28"/>
      <c r="V11" s="24">
        <f t="shared" si="0"/>
        <v>345.59999999999991</v>
      </c>
      <c r="W11" s="25">
        <f t="shared" si="4"/>
        <v>3700</v>
      </c>
      <c r="X11" s="40" t="s">
        <v>35</v>
      </c>
      <c r="Y11" s="49">
        <f t="shared" si="6"/>
        <v>34.559999999999995</v>
      </c>
      <c r="Z11" s="49">
        <f t="shared" si="5"/>
        <v>37.324799999999996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ref="E13" si="7">D13*6</f>
        <v>2519.2799999999997</v>
      </c>
      <c r="F13" s="21"/>
      <c r="G13" s="22"/>
      <c r="H13" s="22"/>
      <c r="I13" s="22"/>
      <c r="J13" s="22"/>
      <c r="K13" s="22"/>
      <c r="L13" s="34">
        <f t="shared" ref="L13" si="8">+E13+D13</f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ref="W13" si="9">Q13+V13</f>
        <v>3354.4</v>
      </c>
      <c r="X13" s="40" t="s">
        <v>35</v>
      </c>
      <c r="Y13" s="49">
        <f t="shared" ref="Y13" si="10">+V13*0.1</f>
        <v>0</v>
      </c>
      <c r="Z13" s="49">
        <f t="shared" ref="Z13" si="11">+Y13*1.08</f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/>
      <c r="S14" s="26">
        <v>0</v>
      </c>
      <c r="T14" s="26"/>
      <c r="U14" s="28"/>
      <c r="V14" s="24">
        <f t="shared" si="0"/>
        <v>1645.6</v>
      </c>
      <c r="W14" s="25">
        <f t="shared" si="4"/>
        <v>5000</v>
      </c>
      <c r="X14" s="40" t="s">
        <v>35</v>
      </c>
      <c r="Y14" s="49">
        <f t="shared" si="6"/>
        <v>164.56</v>
      </c>
      <c r="Z14" s="49">
        <f t="shared" si="5"/>
        <v>177.72480000000002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12">SUM(E4:E5)</f>
        <v>5038.5599999999995</v>
      </c>
      <c r="F15" s="20">
        <f t="shared" si="12"/>
        <v>839.76</v>
      </c>
      <c r="G15" s="20">
        <f t="shared" si="12"/>
        <v>500</v>
      </c>
      <c r="H15" s="20">
        <f t="shared" si="12"/>
        <v>587.83199999999999</v>
      </c>
      <c r="I15" s="20">
        <f t="shared" si="12"/>
        <v>587.83199999999999</v>
      </c>
      <c r="J15" s="20">
        <f t="shared" si="12"/>
        <v>312.41000000000003</v>
      </c>
      <c r="K15" s="20">
        <f t="shared" si="12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35819.4</v>
      </c>
      <c r="R15" s="20">
        <f t="shared" ref="R15:W15" si="13">SUM(R4:R14)</f>
        <v>900</v>
      </c>
      <c r="S15" s="20">
        <f t="shared" si="13"/>
        <v>140</v>
      </c>
      <c r="T15" s="20">
        <f t="shared" si="13"/>
        <v>1173.71</v>
      </c>
      <c r="U15" s="20">
        <f>SUM(U4:U14)</f>
        <v>1390</v>
      </c>
      <c r="V15" s="20">
        <f>SUM(V4:V14)</f>
        <v>7565.2900000000009</v>
      </c>
      <c r="W15" s="20">
        <f t="shared" si="13"/>
        <v>43384.69</v>
      </c>
      <c r="Y15" s="20">
        <f>SUM(Y4:Y14)</f>
        <v>756.529</v>
      </c>
      <c r="Z15" s="20">
        <f>SUM(Z4:Z14)</f>
        <v>817.05132000000026</v>
      </c>
      <c r="AA15" s="10">
        <f>SUM(Z15+W15)</f>
        <v>44201.741320000001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A19"/>
  <sheetViews>
    <sheetView showGridLines="0" workbookViewId="0">
      <selection activeCell="D12" sqref="D12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1350</v>
      </c>
      <c r="V4" s="24">
        <f t="shared" ref="V4:V14" si="0">C4-Q4-S4+U4-R4-T4</f>
        <v>1495.6</v>
      </c>
      <c r="W4" s="25">
        <f>Q4+V4</f>
        <v>4850</v>
      </c>
      <c r="X4" s="40" t="s">
        <v>26</v>
      </c>
      <c r="Y4" s="49">
        <f>+V4*0.1</f>
        <v>149.56</v>
      </c>
      <c r="Z4" s="49">
        <f>+Y4*1.08</f>
        <v>161.5248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900</v>
      </c>
      <c r="U5" s="28"/>
      <c r="V5" s="24">
        <f t="shared" si="0"/>
        <v>745.59999999999991</v>
      </c>
      <c r="W5" s="25">
        <f t="shared" ref="W5:W14" si="4">Q5+V5</f>
        <v>4100</v>
      </c>
      <c r="X5" s="40">
        <v>2</v>
      </c>
      <c r="Y5" s="49">
        <f>+V5*0.1</f>
        <v>74.559999999999988</v>
      </c>
      <c r="Z5" s="49">
        <f t="shared" ref="Z5:Z14" si="5">+Y5*1.08</f>
        <v>80.524799999999999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2940</v>
      </c>
      <c r="R6" s="27">
        <v>225</v>
      </c>
      <c r="S6" s="26">
        <v>35</v>
      </c>
      <c r="T6" s="26">
        <v>300</v>
      </c>
      <c r="U6" s="28"/>
      <c r="V6" s="24">
        <f t="shared" si="0"/>
        <v>0</v>
      </c>
      <c r="W6" s="25">
        <f t="shared" si="4"/>
        <v>2940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4135.6000000000004</v>
      </c>
      <c r="R7" s="27"/>
      <c r="S7" s="26">
        <v>0</v>
      </c>
      <c r="T7" s="26"/>
      <c r="U7" s="28">
        <v>1000</v>
      </c>
      <c r="V7" s="24">
        <f t="shared" si="0"/>
        <v>364.39999999999964</v>
      </c>
      <c r="W7" s="25">
        <f t="shared" si="4"/>
        <v>4500</v>
      </c>
      <c r="X7" s="40" t="s">
        <v>30</v>
      </c>
      <c r="Y7" s="49">
        <f t="shared" si="6"/>
        <v>36.439999999999962</v>
      </c>
      <c r="Z7" s="49">
        <f t="shared" si="5"/>
        <v>39.355199999999961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6"/>
      <c r="U8" s="28"/>
      <c r="V8" s="24">
        <f t="shared" si="0"/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2984.2</v>
      </c>
      <c r="R10" s="27"/>
      <c r="S10" s="26"/>
      <c r="T10" s="26">
        <v>668.57</v>
      </c>
      <c r="U10" s="28"/>
      <c r="V10" s="24">
        <f t="shared" si="0"/>
        <v>347.23000000000013</v>
      </c>
      <c r="W10" s="25">
        <f t="shared" si="4"/>
        <v>3331.43</v>
      </c>
      <c r="X10" s="40" t="s">
        <v>35</v>
      </c>
      <c r="Y10" s="49">
        <f t="shared" si="6"/>
        <v>34.723000000000013</v>
      </c>
      <c r="Z10" s="49">
        <f t="shared" si="5"/>
        <v>37.500840000000018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>
        <v>0</v>
      </c>
      <c r="T11" s="26"/>
      <c r="U11" s="28"/>
      <c r="V11" s="24">
        <f t="shared" si="0"/>
        <v>270.80000000000018</v>
      </c>
      <c r="W11" s="25">
        <f t="shared" si="4"/>
        <v>3625</v>
      </c>
      <c r="X11" s="40" t="s">
        <v>35</v>
      </c>
      <c r="Y11" s="49">
        <f t="shared" si="6"/>
        <v>27.08000000000002</v>
      </c>
      <c r="Z11" s="49">
        <f t="shared" si="5"/>
        <v>29.246400000000023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/>
      <c r="S14" s="26">
        <v>0</v>
      </c>
      <c r="T14" s="26">
        <v>600</v>
      </c>
      <c r="U14" s="28"/>
      <c r="V14" s="24">
        <f t="shared" si="0"/>
        <v>1045.8000000000002</v>
      </c>
      <c r="W14" s="25">
        <f t="shared" si="4"/>
        <v>4400</v>
      </c>
      <c r="X14" s="40" t="s">
        <v>35</v>
      </c>
      <c r="Y14" s="49">
        <f t="shared" si="6"/>
        <v>104.58000000000003</v>
      </c>
      <c r="Z14" s="49">
        <f t="shared" si="5"/>
        <v>112.94640000000004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36340.399999999994</v>
      </c>
      <c r="R15" s="20">
        <f t="shared" ref="R15:W15" si="8">SUM(R4:R14)</f>
        <v>975</v>
      </c>
      <c r="S15" s="20">
        <f t="shared" si="8"/>
        <v>175</v>
      </c>
      <c r="T15" s="20">
        <f t="shared" si="8"/>
        <v>3057.28</v>
      </c>
      <c r="U15" s="20">
        <f>SUM(U4:U14)</f>
        <v>2350</v>
      </c>
      <c r="V15" s="20">
        <f>SUM(V4:V14)</f>
        <v>6010.52</v>
      </c>
      <c r="W15" s="20">
        <f t="shared" si="8"/>
        <v>42350.92</v>
      </c>
      <c r="Y15" s="20">
        <f>SUM(Y4:Y14)</f>
        <v>601.05200000000002</v>
      </c>
      <c r="Z15" s="20">
        <f>SUM(Z4:Z14)</f>
        <v>649.13616000000013</v>
      </c>
      <c r="AA15" s="10">
        <f>SUM(Z15+W15)</f>
        <v>43000.05616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A19"/>
  <sheetViews>
    <sheetView showGridLines="0" topLeftCell="C1" workbookViewId="0">
      <selection activeCell="V9" sqref="V9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1010</v>
      </c>
      <c r="V4" s="24">
        <f t="shared" ref="V4:V14" si="0">C4-Q4-S4+U4-R4-T4</f>
        <v>1155.8000000000002</v>
      </c>
      <c r="W4" s="25">
        <f>Q4+V4</f>
        <v>4510</v>
      </c>
      <c r="X4" s="40" t="s">
        <v>26</v>
      </c>
      <c r="Y4" s="49">
        <f>+V4*0.1</f>
        <v>115.58000000000003</v>
      </c>
      <c r="Z4" s="49">
        <f>+Y4*1.08</f>
        <v>124.82640000000004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/>
      <c r="U5" s="28"/>
      <c r="V5" s="24">
        <f t="shared" si="0"/>
        <v>1645.8000000000002</v>
      </c>
      <c r="W5" s="25">
        <f t="shared" ref="W5:W14" si="4">Q5+V5</f>
        <v>5000</v>
      </c>
      <c r="X5" s="40">
        <v>2</v>
      </c>
      <c r="Y5" s="49">
        <f>+V5*0.1</f>
        <v>164.58000000000004</v>
      </c>
      <c r="Z5" s="49">
        <f t="shared" ref="Z5:Z14" si="5">+Y5*1.08</f>
        <v>177.74640000000005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3350</v>
      </c>
      <c r="R6" s="27">
        <v>150</v>
      </c>
      <c r="S6" s="26">
        <v>0</v>
      </c>
      <c r="T6" s="26"/>
      <c r="U6" s="28"/>
      <c r="V6" s="24">
        <f t="shared" si="0"/>
        <v>0</v>
      </c>
      <c r="W6" s="25">
        <f t="shared" si="4"/>
        <v>3350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3354.2</v>
      </c>
      <c r="R7" s="27"/>
      <c r="S7" s="26">
        <v>0</v>
      </c>
      <c r="T7" s="26"/>
      <c r="U7" s="28"/>
      <c r="V7" s="24">
        <f t="shared" si="0"/>
        <v>145.80000000000018</v>
      </c>
      <c r="W7" s="25">
        <f t="shared" si="4"/>
        <v>3500</v>
      </c>
      <c r="X7" s="40" t="s">
        <v>30</v>
      </c>
      <c r="Y7" s="49">
        <f t="shared" si="6"/>
        <v>14.58000000000002</v>
      </c>
      <c r="Z7" s="49">
        <f t="shared" si="5"/>
        <v>15.746400000000023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0</v>
      </c>
      <c r="T8" s="26"/>
      <c r="U8" s="28"/>
      <c r="V8" s="24">
        <f t="shared" si="0"/>
        <v>1270.5999999999999</v>
      </c>
      <c r="W8" s="25">
        <f t="shared" si="4"/>
        <v>4625</v>
      </c>
      <c r="X8" s="40" t="s">
        <v>26</v>
      </c>
      <c r="Y8" s="49">
        <f t="shared" si="6"/>
        <v>127.06</v>
      </c>
      <c r="Z8" s="49">
        <f t="shared" si="5"/>
        <v>137.22480000000002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375</v>
      </c>
      <c r="S11" s="26">
        <v>0</v>
      </c>
      <c r="T11" s="26"/>
      <c r="U11" s="28"/>
      <c r="V11" s="24">
        <f t="shared" si="0"/>
        <v>270.59999999999991</v>
      </c>
      <c r="W11" s="25">
        <f t="shared" si="4"/>
        <v>3625</v>
      </c>
      <c r="X11" s="40" t="s">
        <v>35</v>
      </c>
      <c r="Y11" s="49">
        <f t="shared" si="6"/>
        <v>27.059999999999992</v>
      </c>
      <c r="Z11" s="49">
        <f t="shared" si="5"/>
        <v>29.224799999999991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/>
      <c r="S14" s="26">
        <v>140</v>
      </c>
      <c r="T14" s="26"/>
      <c r="U14" s="28"/>
      <c r="V14" s="24">
        <f t="shared" si="0"/>
        <v>1505.6</v>
      </c>
      <c r="W14" s="25">
        <f t="shared" si="4"/>
        <v>4860</v>
      </c>
      <c r="X14" s="40" t="s">
        <v>35</v>
      </c>
      <c r="Y14" s="49">
        <f t="shared" si="6"/>
        <v>150.56</v>
      </c>
      <c r="Z14" s="49">
        <f t="shared" si="5"/>
        <v>162.60480000000001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36444.400000000001</v>
      </c>
      <c r="R15" s="20">
        <f t="shared" ref="R15:W15" si="8">SUM(R4:R14)</f>
        <v>900</v>
      </c>
      <c r="S15" s="20">
        <f t="shared" si="8"/>
        <v>140</v>
      </c>
      <c r="T15" s="20">
        <f t="shared" si="8"/>
        <v>588.71</v>
      </c>
      <c r="U15" s="20">
        <f>SUM(U4:U14)</f>
        <v>1010</v>
      </c>
      <c r="V15" s="20">
        <f>SUM(V4:V14)</f>
        <v>7145.2900000000009</v>
      </c>
      <c r="W15" s="20">
        <f t="shared" si="8"/>
        <v>43589.69</v>
      </c>
      <c r="Y15" s="20">
        <f>SUM(Y4:Y14)</f>
        <v>714.52900000000022</v>
      </c>
      <c r="Z15" s="20">
        <f>SUM(Z4:Z14)</f>
        <v>771.69132000000013</v>
      </c>
      <c r="AA15" s="10">
        <f>SUM(Z15+W15)</f>
        <v>44361.38132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A19"/>
  <sheetViews>
    <sheetView showGridLines="0" topLeftCell="R1" workbookViewId="0">
      <selection sqref="A1:AA1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3288.2</v>
      </c>
      <c r="R4" s="23"/>
      <c r="S4" s="23"/>
      <c r="T4" s="23"/>
      <c r="U4" s="28">
        <v>1445</v>
      </c>
      <c r="V4" s="24">
        <f t="shared" ref="V4:V14" si="0">C4-Q4-S4+U4-R4-T4</f>
        <v>1656.8000000000002</v>
      </c>
      <c r="W4" s="25">
        <f>Q4+V4</f>
        <v>4945</v>
      </c>
      <c r="X4" s="40" t="s">
        <v>26</v>
      </c>
      <c r="Y4" s="49">
        <f>+V4*0.1</f>
        <v>165.68000000000004</v>
      </c>
      <c r="Z4" s="49">
        <f>+Y4*1.08</f>
        <v>178.93440000000004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3240</v>
      </c>
      <c r="R6" s="27">
        <v>225</v>
      </c>
      <c r="S6" s="26">
        <v>35</v>
      </c>
      <c r="T6" s="26"/>
      <c r="U6" s="28"/>
      <c r="V6" s="24">
        <f t="shared" si="0"/>
        <v>0</v>
      </c>
      <c r="W6" s="25">
        <f t="shared" si="4"/>
        <v>3240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3354.4</v>
      </c>
      <c r="R7" s="27"/>
      <c r="S7" s="26">
        <v>0</v>
      </c>
      <c r="T7" s="26"/>
      <c r="U7" s="28"/>
      <c r="V7" s="24">
        <f t="shared" si="0"/>
        <v>145.59999999999991</v>
      </c>
      <c r="W7" s="25">
        <f t="shared" si="4"/>
        <v>3500</v>
      </c>
      <c r="X7" s="40" t="s">
        <v>30</v>
      </c>
      <c r="Y7" s="49">
        <f t="shared" si="6"/>
        <v>14.559999999999992</v>
      </c>
      <c r="Z7" s="49">
        <f t="shared" si="5"/>
        <v>15.724799999999991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175</v>
      </c>
      <c r="T8" s="26"/>
      <c r="U8" s="28"/>
      <c r="V8" s="24">
        <f t="shared" si="0"/>
        <v>1095.8000000000002</v>
      </c>
      <c r="W8" s="25">
        <f t="shared" si="4"/>
        <v>4450</v>
      </c>
      <c r="X8" s="40" t="s">
        <v>26</v>
      </c>
      <c r="Y8" s="49">
        <f t="shared" si="6"/>
        <v>109.58000000000003</v>
      </c>
      <c r="Z8" s="49">
        <f t="shared" si="5"/>
        <v>118.34640000000003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>
        <v>0</v>
      </c>
      <c r="T11" s="26"/>
      <c r="U11" s="28"/>
      <c r="V11" s="24">
        <f t="shared" si="0"/>
        <v>270.80000000000018</v>
      </c>
      <c r="W11" s="25">
        <f t="shared" si="4"/>
        <v>3625</v>
      </c>
      <c r="X11" s="40" t="s">
        <v>35</v>
      </c>
      <c r="Y11" s="49">
        <f t="shared" si="6"/>
        <v>27.08000000000002</v>
      </c>
      <c r="Z11" s="49">
        <f t="shared" si="5"/>
        <v>29.246400000000023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2879</v>
      </c>
      <c r="R13" s="27"/>
      <c r="S13" s="26">
        <v>0</v>
      </c>
      <c r="T13" s="26">
        <v>560.59</v>
      </c>
      <c r="U13" s="28"/>
      <c r="V13" s="24"/>
      <c r="W13" s="25">
        <f t="shared" si="4"/>
        <v>2879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/>
      <c r="S14" s="26"/>
      <c r="T14" s="26"/>
      <c r="U14" s="28">
        <v>3000</v>
      </c>
      <c r="V14" s="24">
        <f t="shared" si="0"/>
        <v>4645.8</v>
      </c>
      <c r="W14" s="25">
        <f t="shared" si="4"/>
        <v>8000</v>
      </c>
      <c r="X14" s="40" t="s">
        <v>35</v>
      </c>
      <c r="Y14" s="49">
        <f t="shared" si="6"/>
        <v>464.58000000000004</v>
      </c>
      <c r="Z14" s="49">
        <f t="shared" si="5"/>
        <v>501.74640000000005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35792.6</v>
      </c>
      <c r="R15" s="20">
        <f t="shared" ref="R15:W15" si="8">SUM(R4:R14)</f>
        <v>975</v>
      </c>
      <c r="S15" s="20">
        <f t="shared" si="8"/>
        <v>210</v>
      </c>
      <c r="T15" s="20">
        <f t="shared" si="8"/>
        <v>1849.3000000000002</v>
      </c>
      <c r="U15" s="20">
        <f>SUM(U4:U14)</f>
        <v>4445</v>
      </c>
      <c r="V15" s="20">
        <f>SUM(V4:V14)</f>
        <v>9911.6900000000023</v>
      </c>
      <c r="W15" s="20">
        <f t="shared" si="8"/>
        <v>45704.29</v>
      </c>
      <c r="Y15" s="20">
        <f>SUM(Y4:Y14)</f>
        <v>991.16900000000021</v>
      </c>
      <c r="Z15" s="20">
        <f>SUM(Z4:Z14)</f>
        <v>1070.4625200000003</v>
      </c>
      <c r="AA15" s="10">
        <f>SUM(Z15+W15)</f>
        <v>46774.752520000002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A19"/>
  <sheetViews>
    <sheetView showGridLines="0" workbookViewId="0">
      <selection activeCell="AA15" sqref="A1:AA1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1210</v>
      </c>
      <c r="V4" s="24">
        <f t="shared" ref="V4:V14" si="0">C4-Q4-S4+U4-R4-T4</f>
        <v>1355.6</v>
      </c>
      <c r="W4" s="25">
        <f>Q4+V4</f>
        <v>4710</v>
      </c>
      <c r="X4" s="40" t="s">
        <v>26</v>
      </c>
      <c r="Y4" s="49">
        <f>+V4*0.1</f>
        <v>135.56</v>
      </c>
      <c r="Z4" s="49">
        <f>+Y4*1.08</f>
        <v>146.40480000000002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3469.6</v>
      </c>
      <c r="R5" s="27"/>
      <c r="S5" s="26"/>
      <c r="T5" s="26">
        <v>700</v>
      </c>
      <c r="U5" s="28">
        <v>535.71</v>
      </c>
      <c r="V5" s="24">
        <f t="shared" si="0"/>
        <v>1366.1100000000001</v>
      </c>
      <c r="W5" s="25">
        <f t="shared" ref="W5:W14" si="4">Q5+V5</f>
        <v>4835.71</v>
      </c>
      <c r="X5" s="40">
        <v>2</v>
      </c>
      <c r="Y5" s="49">
        <f>+V5*0.1</f>
        <v>136.61100000000002</v>
      </c>
      <c r="Z5" s="49">
        <f t="shared" ref="Z5:Z14" si="5">+Y5*1.08</f>
        <v>147.53988000000004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3275</v>
      </c>
      <c r="R6" s="27">
        <v>225</v>
      </c>
      <c r="S6" s="26"/>
      <c r="T6" s="26"/>
      <c r="U6" s="28"/>
      <c r="V6" s="24">
        <f t="shared" si="0"/>
        <v>0</v>
      </c>
      <c r="W6" s="25">
        <f t="shared" si="4"/>
        <v>3275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3354.2</v>
      </c>
      <c r="R7" s="27"/>
      <c r="S7" s="26">
        <v>0</v>
      </c>
      <c r="T7" s="26"/>
      <c r="U7" s="28"/>
      <c r="V7" s="24">
        <f t="shared" si="0"/>
        <v>145.80000000000018</v>
      </c>
      <c r="W7" s="25">
        <f t="shared" si="4"/>
        <v>3500</v>
      </c>
      <c r="X7" s="40" t="s">
        <v>30</v>
      </c>
      <c r="Y7" s="49">
        <f t="shared" si="6"/>
        <v>14.58000000000002</v>
      </c>
      <c r="Z7" s="49">
        <f t="shared" si="5"/>
        <v>15.746400000000023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225</v>
      </c>
      <c r="S8" s="26"/>
      <c r="T8" s="26"/>
      <c r="U8" s="28"/>
      <c r="V8" s="24">
        <f t="shared" si="0"/>
        <v>1420.6</v>
      </c>
      <c r="W8" s="25">
        <f t="shared" si="4"/>
        <v>4775</v>
      </c>
      <c r="X8" s="40" t="s">
        <v>26</v>
      </c>
      <c r="Y8" s="49">
        <f t="shared" si="6"/>
        <v>142.06</v>
      </c>
      <c r="Z8" s="49">
        <f t="shared" si="5"/>
        <v>153.4248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3459.4</v>
      </c>
      <c r="R10" s="27"/>
      <c r="S10" s="26"/>
      <c r="T10" s="26"/>
      <c r="U10" s="28"/>
      <c r="V10" s="24">
        <f t="shared" si="0"/>
        <v>540.59999999999991</v>
      </c>
      <c r="W10" s="25">
        <f t="shared" si="4"/>
        <v>4000</v>
      </c>
      <c r="X10" s="40" t="s">
        <v>35</v>
      </c>
      <c r="Y10" s="49">
        <f t="shared" si="6"/>
        <v>54.059999999999995</v>
      </c>
      <c r="Z10" s="49">
        <f t="shared" si="5"/>
        <v>58.384799999999998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225</v>
      </c>
      <c r="S11" s="26">
        <v>0</v>
      </c>
      <c r="T11" s="26"/>
      <c r="U11" s="28"/>
      <c r="V11" s="24">
        <f t="shared" si="0"/>
        <v>420.59999999999991</v>
      </c>
      <c r="W11" s="25">
        <f t="shared" si="4"/>
        <v>3775</v>
      </c>
      <c r="X11" s="40" t="s">
        <v>35</v>
      </c>
      <c r="Y11" s="49">
        <f t="shared" si="6"/>
        <v>42.059999999999995</v>
      </c>
      <c r="Z11" s="49">
        <f t="shared" si="5"/>
        <v>45.424799999999998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>
        <v>150</v>
      </c>
      <c r="S14" s="26"/>
      <c r="T14" s="26"/>
      <c r="U14" s="28"/>
      <c r="V14" s="24">
        <f t="shared" si="0"/>
        <v>1495.6</v>
      </c>
      <c r="W14" s="25">
        <f t="shared" si="4"/>
        <v>4850</v>
      </c>
      <c r="X14" s="40" t="s">
        <v>35</v>
      </c>
      <c r="Y14" s="49">
        <f t="shared" si="6"/>
        <v>149.56</v>
      </c>
      <c r="Z14" s="49">
        <f t="shared" si="5"/>
        <v>161.5248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36485.000000000007</v>
      </c>
      <c r="R15" s="20">
        <f t="shared" ref="R15:W15" si="8">SUM(R4:R14)</f>
        <v>825</v>
      </c>
      <c r="S15" s="20">
        <f t="shared" si="8"/>
        <v>0</v>
      </c>
      <c r="T15" s="20">
        <f t="shared" si="8"/>
        <v>1288.71</v>
      </c>
      <c r="U15" s="20">
        <f>SUM(U4:U14)</f>
        <v>1745.71</v>
      </c>
      <c r="V15" s="20">
        <f>SUM(V4:V14)</f>
        <v>7355.4000000000015</v>
      </c>
      <c r="W15" s="20">
        <f t="shared" si="8"/>
        <v>43840.4</v>
      </c>
      <c r="Y15" s="20">
        <f>SUM(Y4:Y14)</f>
        <v>735.54000000000019</v>
      </c>
      <c r="Z15" s="20">
        <f>SUM(Z4:Z14)</f>
        <v>794.38320000000022</v>
      </c>
      <c r="AA15" s="10">
        <f>SUM(Z15+W15)</f>
        <v>44634.783200000005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A19"/>
  <sheetViews>
    <sheetView showGridLines="0" topLeftCell="C1" workbookViewId="0">
      <selection activeCell="T7" sqref="T7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56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3222.2</v>
      </c>
      <c r="R4" s="23">
        <v>0</v>
      </c>
      <c r="S4" s="23">
        <v>0</v>
      </c>
      <c r="T4" s="23"/>
      <c r="U4" s="28">
        <f>1310+250</f>
        <v>1560</v>
      </c>
      <c r="V4" s="24">
        <f t="shared" ref="V4:V14" si="0">C4-Q4-S4+U4-R4-T4</f>
        <v>1837.8000000000002</v>
      </c>
      <c r="W4" s="25">
        <f>Q4+V4</f>
        <v>5060</v>
      </c>
      <c r="X4" s="40" t="s">
        <v>26</v>
      </c>
      <c r="Y4" s="49">
        <f>+V4*0.1</f>
        <v>183.78000000000003</v>
      </c>
      <c r="Z4" s="49">
        <f>+Y4*1.08</f>
        <v>198.48240000000004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3017</v>
      </c>
      <c r="R5" s="27">
        <v>0</v>
      </c>
      <c r="S5" s="26">
        <v>0</v>
      </c>
      <c r="T5" s="26">
        <v>700</v>
      </c>
      <c r="U5" s="28">
        <v>892.86</v>
      </c>
      <c r="V5" s="24">
        <f t="shared" si="0"/>
        <v>2175.86</v>
      </c>
      <c r="W5" s="25">
        <f t="shared" ref="W5:W14" si="4">Q5+V5</f>
        <v>5192.8600000000006</v>
      </c>
      <c r="X5" s="40">
        <v>2</v>
      </c>
      <c r="Y5" s="49">
        <f>+V5*0.1</f>
        <v>217.58600000000001</v>
      </c>
      <c r="Z5" s="49">
        <f t="shared" ref="Z5:Z14" si="5">+Y5*1.08</f>
        <v>234.99288000000004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3222.2</v>
      </c>
      <c r="R6" s="27">
        <v>75</v>
      </c>
      <c r="S6" s="26">
        <v>70</v>
      </c>
      <c r="T6" s="26"/>
      <c r="U6" s="28">
        <v>250</v>
      </c>
      <c r="V6" s="24">
        <f t="shared" si="0"/>
        <v>382.80000000000018</v>
      </c>
      <c r="W6" s="25">
        <f t="shared" si="4"/>
        <v>3605</v>
      </c>
      <c r="X6" s="40" t="s">
        <v>26</v>
      </c>
      <c r="Y6" s="49">
        <f t="shared" ref="Y6:Y14" si="6">+V6*0.1</f>
        <v>38.280000000000022</v>
      </c>
      <c r="Z6" s="49">
        <f t="shared" si="5"/>
        <v>41.342400000000026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3354.4</v>
      </c>
      <c r="R7" s="27">
        <v>0</v>
      </c>
      <c r="S7" s="26">
        <v>0</v>
      </c>
      <c r="T7" s="26"/>
      <c r="U7" s="28"/>
      <c r="V7" s="24">
        <f t="shared" si="0"/>
        <v>145.59999999999991</v>
      </c>
      <c r="W7" s="25">
        <f t="shared" si="4"/>
        <v>3500</v>
      </c>
      <c r="X7" s="40" t="s">
        <v>30</v>
      </c>
      <c r="Y7" s="49">
        <f t="shared" si="6"/>
        <v>14.559999999999992</v>
      </c>
      <c r="Z7" s="49">
        <f t="shared" si="5"/>
        <v>15.724799999999991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3222.2</v>
      </c>
      <c r="R8" s="27">
        <v>375</v>
      </c>
      <c r="S8" s="26">
        <v>175</v>
      </c>
      <c r="T8" s="26"/>
      <c r="U8" s="28">
        <v>357.14</v>
      </c>
      <c r="V8" s="24">
        <f t="shared" si="0"/>
        <v>1584.94</v>
      </c>
      <c r="W8" s="25">
        <f t="shared" si="4"/>
        <v>4807.1399999999994</v>
      </c>
      <c r="X8" s="40" t="s">
        <v>26</v>
      </c>
      <c r="Y8" s="49">
        <f t="shared" si="6"/>
        <v>158.49400000000003</v>
      </c>
      <c r="Z8" s="49">
        <f t="shared" si="5"/>
        <v>171.17352000000005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2563</v>
      </c>
      <c r="R9" s="27">
        <v>0</v>
      </c>
      <c r="S9" s="26">
        <v>0</v>
      </c>
      <c r="T9" s="48">
        <v>588.71</v>
      </c>
      <c r="U9" s="28">
        <v>239.57</v>
      </c>
      <c r="V9" s="24">
        <f t="shared" si="0"/>
        <v>441.8599999999999</v>
      </c>
      <c r="W9" s="25">
        <f t="shared" si="4"/>
        <v>3004.8599999999997</v>
      </c>
      <c r="X9" s="40" t="s">
        <v>35</v>
      </c>
      <c r="Y9" s="49">
        <f t="shared" si="6"/>
        <v>44.185999999999993</v>
      </c>
      <c r="Z9" s="49">
        <f t="shared" si="5"/>
        <v>47.720879999999994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>
        <v>0</v>
      </c>
      <c r="S10" s="26">
        <v>0</v>
      </c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3222.2</v>
      </c>
      <c r="R11" s="27">
        <v>375</v>
      </c>
      <c r="S11" s="26">
        <v>0</v>
      </c>
      <c r="T11" s="26"/>
      <c r="U11" s="28">
        <v>285.70999999999998</v>
      </c>
      <c r="V11" s="24">
        <f t="shared" si="0"/>
        <v>688.51000000000022</v>
      </c>
      <c r="W11" s="25">
        <f t="shared" si="4"/>
        <v>3910.71</v>
      </c>
      <c r="X11" s="40" t="s">
        <v>35</v>
      </c>
      <c r="Y11" s="49">
        <f t="shared" si="6"/>
        <v>68.851000000000028</v>
      </c>
      <c r="Z11" s="49">
        <f t="shared" si="5"/>
        <v>74.359080000000034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>
        <v>0</v>
      </c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3288.2</v>
      </c>
      <c r="R13" s="27">
        <v>0</v>
      </c>
      <c r="S13" s="26">
        <v>0</v>
      </c>
      <c r="T13" s="26"/>
      <c r="U13" s="28">
        <v>119.79</v>
      </c>
      <c r="V13" s="24">
        <f t="shared" si="0"/>
        <v>185.5900000000002</v>
      </c>
      <c r="W13" s="25">
        <f t="shared" si="4"/>
        <v>3473.79</v>
      </c>
      <c r="X13" s="40" t="s">
        <v>35</v>
      </c>
      <c r="Y13" s="49">
        <f t="shared" si="6"/>
        <v>18.559000000000022</v>
      </c>
      <c r="Z13" s="49">
        <f t="shared" si="5"/>
        <v>20.043720000000025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3222.2</v>
      </c>
      <c r="R14" s="27">
        <v>0</v>
      </c>
      <c r="S14" s="26">
        <v>70</v>
      </c>
      <c r="T14" s="26"/>
      <c r="U14" s="28">
        <f>357.14+1098</f>
        <v>1455.1399999999999</v>
      </c>
      <c r="V14" s="24">
        <f t="shared" si="0"/>
        <v>3162.94</v>
      </c>
      <c r="W14" s="25">
        <f t="shared" si="4"/>
        <v>6385.1399999999994</v>
      </c>
      <c r="X14" s="40" t="s">
        <v>35</v>
      </c>
      <c r="Y14" s="49">
        <f t="shared" si="6"/>
        <v>316.29400000000004</v>
      </c>
      <c r="Z14" s="49">
        <f t="shared" si="5"/>
        <v>341.59752000000009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35252.200000000004</v>
      </c>
      <c r="R15" s="20">
        <f t="shared" ref="R15:W15" si="8">SUM(R4:R14)</f>
        <v>825</v>
      </c>
      <c r="S15" s="20">
        <f t="shared" si="8"/>
        <v>315</v>
      </c>
      <c r="T15" s="20">
        <f t="shared" si="8"/>
        <v>1288.71</v>
      </c>
      <c r="U15" s="20">
        <f>SUM(U4:U14)</f>
        <v>5160.21</v>
      </c>
      <c r="V15" s="20">
        <f>SUM(V4:V14)</f>
        <v>11687.300000000003</v>
      </c>
      <c r="W15" s="20">
        <f t="shared" si="8"/>
        <v>46939.5</v>
      </c>
      <c r="Y15" s="20">
        <f>SUM(Y4:Y14)</f>
        <v>1168.73</v>
      </c>
      <c r="Z15" s="20">
        <f>SUM(Z4:Z14)</f>
        <v>1262.2284000000004</v>
      </c>
      <c r="AA15" s="10">
        <f>SUM(Z15+W15)</f>
        <v>48201.7284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1" x14ac:dyDescent="0.25">
      <c r="C17" s="10"/>
    </row>
    <row r="18" spans="3:21" x14ac:dyDescent="0.25">
      <c r="R18" s="10"/>
      <c r="U18" s="10"/>
    </row>
    <row r="19" spans="3:21" ht="17.25" x14ac:dyDescent="0.3">
      <c r="L19" s="17"/>
      <c r="O19" s="10"/>
      <c r="P19" s="10"/>
      <c r="Q19" s="10"/>
    </row>
  </sheetData>
  <autoFilter ref="A3:Z15" xr:uid="{00000000-0009-0000-0000-00000F000000}"/>
  <mergeCells count="2">
    <mergeCell ref="A1:W1"/>
    <mergeCell ref="A2:W2"/>
  </mergeCells>
  <pageMargins left="0.7" right="0.7" top="0.75" bottom="0.75" header="0.3" footer="0.3"/>
  <pageSetup scale="56" fitToHeight="0" orientation="landscape" verticalDpi="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D21"/>
  <sheetViews>
    <sheetView showGridLines="0" workbookViewId="0">
      <selection activeCell="Y7" sqref="Y7"/>
    </sheetView>
  </sheetViews>
  <sheetFormatPr defaultColWidth="11.5703125" defaultRowHeight="15" x14ac:dyDescent="0.25"/>
  <cols>
    <col min="1" max="1" width="9.140625" customWidth="1"/>
    <col min="2" max="2" width="33.5703125" customWidth="1"/>
    <col min="3" max="3" width="13.42578125" customWidth="1"/>
    <col min="4" max="4" width="18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19" max="19" width="14" bestFit="1" customWidth="1"/>
    <col min="20" max="21" width="20.5703125" bestFit="1" customWidth="1"/>
    <col min="22" max="22" width="17.5703125" bestFit="1" customWidth="1"/>
    <col min="23" max="23" width="19" bestFit="1" customWidth="1"/>
    <col min="24" max="24" width="13.85546875" customWidth="1"/>
    <col min="25" max="25" width="17.140625" customWidth="1"/>
    <col min="26" max="26" width="11.140625" hidden="1" customWidth="1"/>
    <col min="27" max="27" width="11.42578125" hidden="1" customWidth="1"/>
    <col min="28" max="30" width="11.42578125" customWidth="1"/>
  </cols>
  <sheetData>
    <row r="1" spans="1:30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</row>
    <row r="2" spans="1:30" ht="15.75" thickBot="1" x14ac:dyDescent="0.3">
      <c r="A2" s="105" t="s">
        <v>56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0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57</v>
      </c>
      <c r="S3" s="3" t="s">
        <v>14</v>
      </c>
      <c r="T3" s="3" t="s">
        <v>25</v>
      </c>
      <c r="U3" s="3" t="s">
        <v>15</v>
      </c>
      <c r="V3" s="2" t="s">
        <v>16</v>
      </c>
      <c r="W3" s="3" t="s">
        <v>17</v>
      </c>
      <c r="X3" s="5" t="s">
        <v>59</v>
      </c>
      <c r="Y3" s="5" t="s">
        <v>18</v>
      </c>
      <c r="Z3" s="39" t="s">
        <v>27</v>
      </c>
      <c r="AA3" s="39" t="s">
        <v>28</v>
      </c>
      <c r="AB3" s="39" t="s">
        <v>29</v>
      </c>
      <c r="AC3" s="5" t="s">
        <v>60</v>
      </c>
    </row>
    <row r="4" spans="1:30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3432.2</v>
      </c>
      <c r="R4" s="19">
        <f>+Q4-'Nom 16'!Q4</f>
        <v>210</v>
      </c>
      <c r="S4" s="23">
        <v>0</v>
      </c>
      <c r="T4" s="23">
        <v>0</v>
      </c>
      <c r="U4" s="23"/>
      <c r="V4" s="28">
        <f>1310+250</f>
        <v>1560</v>
      </c>
      <c r="W4" s="24">
        <f>C4-Q4-T4+V4-S4-U4</f>
        <v>1627.8000000000002</v>
      </c>
      <c r="X4" s="24">
        <f>+'Nom 16'!V4-'Nom 16 Correccion'!W4</f>
        <v>210</v>
      </c>
      <c r="Y4" s="25">
        <f>Q4+W4</f>
        <v>5060</v>
      </c>
      <c r="Z4" s="40" t="s">
        <v>26</v>
      </c>
      <c r="AA4" s="49">
        <f>+W4*0.1</f>
        <v>162.78000000000003</v>
      </c>
      <c r="AB4" s="49">
        <f>+AA4*1.08</f>
        <v>175.80240000000003</v>
      </c>
      <c r="AC4" s="49">
        <f>+'Nom 16'!Z4-'Nom 16 Correccion'!AB4</f>
        <v>22.680000000000007</v>
      </c>
    </row>
    <row r="5" spans="1:30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0">D5*6</f>
        <v>2519.2799999999997</v>
      </c>
      <c r="F5" s="8">
        <f t="shared" ref="F5" si="1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2">+E5+D5</f>
        <v>2939.16</v>
      </c>
      <c r="M5" s="29"/>
      <c r="N5" s="12"/>
      <c r="O5" s="11"/>
      <c r="P5" s="9"/>
      <c r="Q5" s="19">
        <v>3541.8</v>
      </c>
      <c r="R5" s="19">
        <f>+Q5-'Nom 16'!Q5</f>
        <v>524.80000000000018</v>
      </c>
      <c r="S5" s="27">
        <v>0</v>
      </c>
      <c r="T5" s="26">
        <v>0</v>
      </c>
      <c r="U5" s="26">
        <v>700</v>
      </c>
      <c r="V5" s="28">
        <v>892.86</v>
      </c>
      <c r="W5" s="24">
        <f t="shared" ref="W5:W14" si="3">C5-Q5-T5+V5-S5-U5</f>
        <v>1651.06</v>
      </c>
      <c r="X5" s="24">
        <f>+'Nom 16'!V5-'Nom 16 Correccion'!W5</f>
        <v>524.80000000000018</v>
      </c>
      <c r="Y5" s="25">
        <f t="shared" ref="Y5:Y14" si="4">Q5+W5</f>
        <v>5192.8600000000006</v>
      </c>
      <c r="Z5" s="40">
        <v>2</v>
      </c>
      <c r="AA5" s="49">
        <f>+W5*0.1</f>
        <v>165.10599999999999</v>
      </c>
      <c r="AB5" s="49">
        <f t="shared" ref="AB5:AB14" si="5">+AA5*1.08</f>
        <v>178.31448</v>
      </c>
      <c r="AC5" s="49">
        <f>+'Nom 16'!Z5-'Nom 16 Correccion'!AB5</f>
        <v>56.678400000000039</v>
      </c>
    </row>
    <row r="6" spans="1:30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0"/>
        <v>2519.2799999999997</v>
      </c>
      <c r="F6" s="21"/>
      <c r="G6" s="22"/>
      <c r="H6" s="22"/>
      <c r="I6" s="22"/>
      <c r="J6" s="22"/>
      <c r="K6" s="22"/>
      <c r="L6" s="34">
        <f t="shared" si="2"/>
        <v>2939.16</v>
      </c>
      <c r="M6" s="30"/>
      <c r="N6" s="15"/>
      <c r="O6" s="14"/>
      <c r="P6" s="14"/>
      <c r="Q6" s="19">
        <v>3432</v>
      </c>
      <c r="R6" s="19">
        <f>+Q6-'Nom 16'!Q6</f>
        <v>209.80000000000018</v>
      </c>
      <c r="S6" s="27">
        <v>75</v>
      </c>
      <c r="T6" s="26">
        <v>70</v>
      </c>
      <c r="U6" s="26"/>
      <c r="V6" s="28">
        <v>250</v>
      </c>
      <c r="W6" s="24">
        <f t="shared" si="3"/>
        <v>173</v>
      </c>
      <c r="X6" s="24">
        <f>+'Nom 16'!V6-'Nom 16 Correccion'!W6</f>
        <v>209.80000000000018</v>
      </c>
      <c r="Y6" s="25">
        <f t="shared" si="4"/>
        <v>3605</v>
      </c>
      <c r="Z6" s="40" t="s">
        <v>26</v>
      </c>
      <c r="AA6" s="49">
        <f t="shared" ref="AA6:AA14" si="6">+W6*0.1</f>
        <v>17.3</v>
      </c>
      <c r="AB6" s="49">
        <f t="shared" si="5"/>
        <v>18.684000000000001</v>
      </c>
      <c r="AC6" s="49">
        <f>+'Nom 16'!Z6-'Nom 16 Correccion'!AB6</f>
        <v>22.658400000000025</v>
      </c>
    </row>
    <row r="7" spans="1:30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0"/>
        <v>2519.2799999999997</v>
      </c>
      <c r="F7" s="21"/>
      <c r="G7" s="22"/>
      <c r="H7" s="22"/>
      <c r="I7" s="22"/>
      <c r="J7" s="22"/>
      <c r="K7" s="22"/>
      <c r="L7" s="34">
        <f t="shared" si="2"/>
        <v>2939.16</v>
      </c>
      <c r="M7" s="30"/>
      <c r="N7" s="15"/>
      <c r="O7" s="14"/>
      <c r="P7" s="14"/>
      <c r="Q7" s="19">
        <v>3354.4</v>
      </c>
      <c r="R7" s="19">
        <f>+Q7-'Nom 16'!Q7</f>
        <v>0</v>
      </c>
      <c r="S7" s="27">
        <v>0</v>
      </c>
      <c r="T7" s="26">
        <v>0</v>
      </c>
      <c r="U7" s="26"/>
      <c r="V7" s="28"/>
      <c r="W7" s="24">
        <f t="shared" si="3"/>
        <v>145.59999999999991</v>
      </c>
      <c r="X7" s="24">
        <f>+'Nom 16'!V7-'Nom 16 Correccion'!W7</f>
        <v>0</v>
      </c>
      <c r="Y7" s="25">
        <f t="shared" si="4"/>
        <v>3500</v>
      </c>
      <c r="Z7" s="40" t="s">
        <v>30</v>
      </c>
      <c r="AA7" s="49">
        <f t="shared" si="6"/>
        <v>14.559999999999992</v>
      </c>
      <c r="AB7" s="49">
        <f t="shared" si="5"/>
        <v>15.724799999999991</v>
      </c>
      <c r="AC7" s="49">
        <f>+'Nom 16'!Z7-'Nom 16 Correccion'!AB7</f>
        <v>0</v>
      </c>
    </row>
    <row r="8" spans="1:30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0"/>
        <v>2519.2799999999997</v>
      </c>
      <c r="F8" s="21"/>
      <c r="G8" s="22"/>
      <c r="H8" s="22"/>
      <c r="I8" s="22"/>
      <c r="J8" s="22"/>
      <c r="K8" s="22"/>
      <c r="L8" s="34">
        <f t="shared" si="2"/>
        <v>2939.16</v>
      </c>
      <c r="M8" s="30"/>
      <c r="N8" s="15"/>
      <c r="O8" s="14"/>
      <c r="P8" s="14"/>
      <c r="Q8" s="19">
        <v>3432.2</v>
      </c>
      <c r="R8" s="19">
        <f>+Q8-'Nom 16'!Q8</f>
        <v>210</v>
      </c>
      <c r="S8" s="27">
        <v>375</v>
      </c>
      <c r="T8" s="26">
        <v>175</v>
      </c>
      <c r="U8" s="26"/>
      <c r="V8" s="28">
        <v>357.14</v>
      </c>
      <c r="W8" s="24">
        <f t="shared" si="3"/>
        <v>1374.94</v>
      </c>
      <c r="X8" s="24">
        <f>+'Nom 16'!V8-'Nom 16 Correccion'!W8</f>
        <v>210</v>
      </c>
      <c r="Y8" s="25">
        <f t="shared" si="4"/>
        <v>4807.1399999999994</v>
      </c>
      <c r="Z8" s="40" t="s">
        <v>26</v>
      </c>
      <c r="AA8" s="49">
        <f t="shared" si="6"/>
        <v>137.494</v>
      </c>
      <c r="AB8" s="49">
        <f t="shared" si="5"/>
        <v>148.49352000000002</v>
      </c>
      <c r="AC8" s="49">
        <f>+'Nom 16'!Z8-'Nom 16 Correccion'!AB8</f>
        <v>22.680000000000035</v>
      </c>
    </row>
    <row r="9" spans="1:30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0"/>
        <v>2519.2799999999997</v>
      </c>
      <c r="F9" s="21"/>
      <c r="G9" s="22"/>
      <c r="H9" s="22"/>
      <c r="I9" s="22"/>
      <c r="J9" s="22"/>
      <c r="K9" s="22"/>
      <c r="L9" s="34">
        <f t="shared" si="2"/>
        <v>2939.16</v>
      </c>
      <c r="M9" s="30"/>
      <c r="N9" s="15"/>
      <c r="O9" s="14"/>
      <c r="P9" s="14"/>
      <c r="Q9" s="19">
        <v>2773.6</v>
      </c>
      <c r="R9" s="19">
        <f>+Q9-'Nom 16'!Q9</f>
        <v>210.59999999999991</v>
      </c>
      <c r="S9" s="27">
        <v>0</v>
      </c>
      <c r="T9" s="26">
        <v>0</v>
      </c>
      <c r="U9" s="48">
        <v>588.71</v>
      </c>
      <c r="V9" s="28">
        <v>239.57</v>
      </c>
      <c r="W9" s="24">
        <f t="shared" si="3"/>
        <v>231.26</v>
      </c>
      <c r="X9" s="24">
        <f>+'Nom 16'!V9-'Nom 16 Correccion'!W9</f>
        <v>210.59999999999991</v>
      </c>
      <c r="Y9" s="25">
        <f t="shared" si="4"/>
        <v>3004.8599999999997</v>
      </c>
      <c r="Z9" s="40" t="s">
        <v>35</v>
      </c>
      <c r="AA9" s="49">
        <f t="shared" si="6"/>
        <v>23.126000000000001</v>
      </c>
      <c r="AB9" s="49">
        <f t="shared" si="5"/>
        <v>24.976080000000003</v>
      </c>
      <c r="AC9" s="49">
        <f>+'Nom 16'!Z9-'Nom 16 Correccion'!AB9</f>
        <v>22.744799999999991</v>
      </c>
    </row>
    <row r="10" spans="1:30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0"/>
        <v>2519.2799999999997</v>
      </c>
      <c r="F10" s="21"/>
      <c r="G10" s="22"/>
      <c r="H10" s="22"/>
      <c r="I10" s="22"/>
      <c r="J10" s="22"/>
      <c r="K10" s="22"/>
      <c r="L10" s="34">
        <f t="shared" si="2"/>
        <v>2939.16</v>
      </c>
      <c r="M10" s="30"/>
      <c r="N10" s="15"/>
      <c r="O10" s="14"/>
      <c r="P10" s="14"/>
      <c r="Q10" s="19">
        <v>3459.2</v>
      </c>
      <c r="R10" s="19">
        <f>+Q10-'Nom 16'!Q10</f>
        <v>0</v>
      </c>
      <c r="S10" s="27">
        <v>0</v>
      </c>
      <c r="T10" s="26">
        <v>0</v>
      </c>
      <c r="U10" s="26"/>
      <c r="V10" s="28"/>
      <c r="W10" s="24">
        <f t="shared" si="3"/>
        <v>540.80000000000018</v>
      </c>
      <c r="X10" s="24">
        <f>+'Nom 16'!V10-'Nom 16 Correccion'!W10</f>
        <v>0</v>
      </c>
      <c r="Y10" s="25">
        <f t="shared" si="4"/>
        <v>4000</v>
      </c>
      <c r="Z10" s="40" t="s">
        <v>35</v>
      </c>
      <c r="AA10" s="49">
        <f t="shared" si="6"/>
        <v>54.08000000000002</v>
      </c>
      <c r="AB10" s="49">
        <f t="shared" si="5"/>
        <v>58.406400000000026</v>
      </c>
      <c r="AC10" s="49">
        <f>+'Nom 16'!Z10-'Nom 16 Correccion'!AB10</f>
        <v>0</v>
      </c>
    </row>
    <row r="11" spans="1:30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0"/>
        <v>2519.2799999999997</v>
      </c>
      <c r="F11" s="21"/>
      <c r="G11" s="22"/>
      <c r="H11" s="22"/>
      <c r="I11" s="22"/>
      <c r="J11" s="22"/>
      <c r="K11" s="22"/>
      <c r="L11" s="34">
        <f t="shared" si="2"/>
        <v>2939.16</v>
      </c>
      <c r="M11" s="30"/>
      <c r="N11" s="15"/>
      <c r="O11" s="14"/>
      <c r="P11" s="14"/>
      <c r="Q11" s="19">
        <v>3432.2</v>
      </c>
      <c r="R11" s="19">
        <f>+Q11-'Nom 16'!Q11</f>
        <v>210</v>
      </c>
      <c r="S11" s="27">
        <v>375</v>
      </c>
      <c r="T11" s="26">
        <v>0</v>
      </c>
      <c r="U11" s="26"/>
      <c r="V11" s="28">
        <v>285.70999999999998</v>
      </c>
      <c r="W11" s="24">
        <f t="shared" si="3"/>
        <v>478.51000000000022</v>
      </c>
      <c r="X11" s="24">
        <f>+'Nom 16'!V11-'Nom 16 Correccion'!W11</f>
        <v>210</v>
      </c>
      <c r="Y11" s="25">
        <f t="shared" si="4"/>
        <v>3910.71</v>
      </c>
      <c r="Z11" s="40" t="s">
        <v>35</v>
      </c>
      <c r="AA11" s="49">
        <f t="shared" si="6"/>
        <v>47.851000000000028</v>
      </c>
      <c r="AB11" s="49">
        <f t="shared" si="5"/>
        <v>51.679080000000035</v>
      </c>
      <c r="AC11" s="49">
        <f>+'Nom 16'!Z11-'Nom 16 Correccion'!AB11</f>
        <v>22.68</v>
      </c>
    </row>
    <row r="12" spans="1:30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0"/>
        <v>2519.2799999999997</v>
      </c>
      <c r="F12" s="21"/>
      <c r="G12" s="22"/>
      <c r="H12" s="22"/>
      <c r="I12" s="22"/>
      <c r="J12" s="22"/>
      <c r="K12" s="22"/>
      <c r="L12" s="34">
        <f t="shared" si="2"/>
        <v>2939.16</v>
      </c>
      <c r="M12" s="30"/>
      <c r="N12" s="15"/>
      <c r="O12" s="14"/>
      <c r="P12" s="14"/>
      <c r="Q12" s="19">
        <v>3459.4</v>
      </c>
      <c r="R12" s="19">
        <f>+Q12-'Nom 16'!Q12</f>
        <v>0</v>
      </c>
      <c r="S12" s="27">
        <v>0</v>
      </c>
      <c r="T12" s="26">
        <v>0</v>
      </c>
      <c r="U12" s="26"/>
      <c r="V12" s="28"/>
      <c r="W12" s="24">
        <f t="shared" si="3"/>
        <v>540.59999999999991</v>
      </c>
      <c r="X12" s="24">
        <f>+'Nom 16'!V12-'Nom 16 Correccion'!W12</f>
        <v>0</v>
      </c>
      <c r="Y12" s="25">
        <f t="shared" si="4"/>
        <v>4000</v>
      </c>
      <c r="Z12" s="40" t="s">
        <v>35</v>
      </c>
      <c r="AA12" s="49">
        <f t="shared" si="6"/>
        <v>54.059999999999995</v>
      </c>
      <c r="AB12" s="49">
        <f t="shared" si="5"/>
        <v>58.384799999999998</v>
      </c>
      <c r="AC12" s="49">
        <f>+'Nom 16'!Z12-'Nom 16 Correccion'!AB12</f>
        <v>0</v>
      </c>
    </row>
    <row r="13" spans="1:30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0"/>
        <v>2519.2799999999997</v>
      </c>
      <c r="F13" s="21"/>
      <c r="G13" s="22"/>
      <c r="H13" s="22"/>
      <c r="I13" s="22"/>
      <c r="J13" s="22"/>
      <c r="K13" s="22"/>
      <c r="L13" s="34">
        <f t="shared" si="2"/>
        <v>2939.16</v>
      </c>
      <c r="M13" s="30"/>
      <c r="N13" s="15"/>
      <c r="O13" s="14"/>
      <c r="P13" s="14"/>
      <c r="Q13" s="19">
        <v>3393.2</v>
      </c>
      <c r="R13" s="19">
        <f>+Q13-'Nom 16'!Q13</f>
        <v>105</v>
      </c>
      <c r="S13" s="27">
        <v>0</v>
      </c>
      <c r="T13" s="26">
        <v>0</v>
      </c>
      <c r="U13" s="26"/>
      <c r="V13" s="28">
        <v>119.79</v>
      </c>
      <c r="W13" s="24">
        <f t="shared" si="3"/>
        <v>80.590000000000188</v>
      </c>
      <c r="X13" s="24">
        <f>+'Nom 16'!V13-'Nom 16 Correccion'!W13</f>
        <v>105.00000000000001</v>
      </c>
      <c r="Y13" s="25">
        <f t="shared" si="4"/>
        <v>3473.79</v>
      </c>
      <c r="Z13" s="40" t="s">
        <v>35</v>
      </c>
      <c r="AA13" s="49">
        <f t="shared" si="6"/>
        <v>8.0590000000000188</v>
      </c>
      <c r="AB13" s="49">
        <f t="shared" si="5"/>
        <v>8.7037200000000201</v>
      </c>
      <c r="AC13" s="49">
        <f>+'Nom 16'!Z13-'Nom 16 Correccion'!AB13</f>
        <v>11.340000000000005</v>
      </c>
    </row>
    <row r="14" spans="1:30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0"/>
        <v>2519.2799999999997</v>
      </c>
      <c r="F14" s="21"/>
      <c r="G14" s="22"/>
      <c r="H14" s="22"/>
      <c r="I14" s="22"/>
      <c r="J14" s="22"/>
      <c r="K14" s="22"/>
      <c r="L14" s="34">
        <f t="shared" si="2"/>
        <v>2939.16</v>
      </c>
      <c r="M14" s="30"/>
      <c r="N14" s="15"/>
      <c r="O14" s="14"/>
      <c r="P14" s="14"/>
      <c r="Q14" s="19">
        <v>3432.2</v>
      </c>
      <c r="R14" s="19">
        <f>+Q14-'Nom 16'!Q14</f>
        <v>210</v>
      </c>
      <c r="S14" s="27">
        <v>0</v>
      </c>
      <c r="T14" s="26">
        <v>70</v>
      </c>
      <c r="U14" s="26"/>
      <c r="V14" s="28">
        <f>357.14+1098</f>
        <v>1455.1399999999999</v>
      </c>
      <c r="W14" s="24">
        <f t="shared" si="3"/>
        <v>2952.94</v>
      </c>
      <c r="X14" s="24">
        <f>+'Nom 16'!V14-'Nom 16 Correccion'!W14</f>
        <v>210</v>
      </c>
      <c r="Y14" s="25">
        <f t="shared" si="4"/>
        <v>6385.1399999999994</v>
      </c>
      <c r="Z14" s="40" t="s">
        <v>35</v>
      </c>
      <c r="AA14" s="49">
        <f t="shared" si="6"/>
        <v>295.29400000000004</v>
      </c>
      <c r="AB14" s="49">
        <f t="shared" si="5"/>
        <v>318.91752000000008</v>
      </c>
      <c r="AC14" s="49">
        <f>+'Nom 16'!Z14-'Nom 16 Correccion'!AB14</f>
        <v>22.680000000000007</v>
      </c>
    </row>
    <row r="15" spans="1:30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37142.399999999994</v>
      </c>
      <c r="R15" s="20">
        <f>SUM(R4:R14)</f>
        <v>1890.2000000000003</v>
      </c>
      <c r="S15" s="20">
        <f t="shared" ref="S15:Y15" si="8">SUM(S4:S14)</f>
        <v>825</v>
      </c>
      <c r="T15" s="20">
        <f t="shared" si="8"/>
        <v>315</v>
      </c>
      <c r="U15" s="20">
        <f t="shared" si="8"/>
        <v>1288.71</v>
      </c>
      <c r="V15" s="20">
        <f>SUM(V4:V14)</f>
        <v>5160.21</v>
      </c>
      <c r="W15" s="20">
        <f>SUM(W4:W14)</f>
        <v>9797.1</v>
      </c>
      <c r="X15" s="20">
        <f>SUM(X4:X14)</f>
        <v>1890.2000000000003</v>
      </c>
      <c r="Y15" s="20">
        <f t="shared" si="8"/>
        <v>46939.5</v>
      </c>
      <c r="AA15" s="20">
        <f>SUM(AA4:AA14)</f>
        <v>979.71</v>
      </c>
      <c r="AB15" s="20">
        <f>SUM(AB4:AB14)</f>
        <v>1058.0868000000003</v>
      </c>
      <c r="AC15" s="20">
        <f>SUM(AC4:AC14)</f>
        <v>204.14160000000012</v>
      </c>
      <c r="AD15" s="10">
        <f>SUM(AB15+Y15)</f>
        <v>47997.586799999997</v>
      </c>
    </row>
    <row r="16" spans="1:30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41"/>
      <c r="S16" s="17"/>
      <c r="T16" s="17"/>
      <c r="U16" s="17"/>
      <c r="V16" s="17"/>
      <c r="W16" s="17"/>
      <c r="X16" s="17"/>
      <c r="Y16" s="18"/>
      <c r="AA16" s="18"/>
      <c r="AB16" s="18"/>
      <c r="AC16" s="18"/>
    </row>
    <row r="17" spans="12:24" ht="15.75" thickBot="1" x14ac:dyDescent="0.3"/>
    <row r="18" spans="12:24" x14ac:dyDescent="0.25">
      <c r="S18" s="69"/>
      <c r="T18" s="70" t="s">
        <v>64</v>
      </c>
      <c r="U18" s="71" t="s">
        <v>58</v>
      </c>
      <c r="V18" s="72" t="s">
        <v>62</v>
      </c>
      <c r="W18" s="73" t="s">
        <v>66</v>
      </c>
      <c r="X18" s="10"/>
    </row>
    <row r="19" spans="12:24" ht="17.25" x14ac:dyDescent="0.3">
      <c r="L19" s="17"/>
      <c r="O19" s="10"/>
      <c r="P19" s="10"/>
      <c r="Q19" s="10"/>
      <c r="R19" s="10"/>
      <c r="S19" s="74" t="s">
        <v>65</v>
      </c>
      <c r="T19" s="10">
        <f>+'Nom 16'!Q15</f>
        <v>35252.200000000004</v>
      </c>
      <c r="U19" s="10">
        <f>+Q15</f>
        <v>37142.399999999994</v>
      </c>
      <c r="V19" s="10">
        <v>0</v>
      </c>
      <c r="W19" s="75">
        <f>+U19-T19</f>
        <v>1890.1999999999898</v>
      </c>
    </row>
    <row r="20" spans="12:24" x14ac:dyDescent="0.25">
      <c r="S20" s="74" t="s">
        <v>61</v>
      </c>
      <c r="T20" s="10">
        <f>+'Nom 16'!V15</f>
        <v>11687.300000000003</v>
      </c>
      <c r="U20" s="10">
        <f>+W15</f>
        <v>9797.1</v>
      </c>
      <c r="V20" s="10">
        <f>+T20-U20</f>
        <v>1890.2000000000025</v>
      </c>
      <c r="W20" s="75">
        <v>0</v>
      </c>
    </row>
    <row r="21" spans="12:24" ht="15.75" thickBot="1" x14ac:dyDescent="0.3">
      <c r="S21" s="76" t="s">
        <v>63</v>
      </c>
      <c r="T21" s="77">
        <f>+'Nom 16'!Z15</f>
        <v>1262.2284000000004</v>
      </c>
      <c r="U21" s="77">
        <f>+AB15</f>
        <v>1058.0868000000003</v>
      </c>
      <c r="V21" s="77">
        <f>+T21-U21</f>
        <v>204.14160000000015</v>
      </c>
      <c r="W21" s="78">
        <v>0</v>
      </c>
    </row>
  </sheetData>
  <autoFilter ref="A3:AB15" xr:uid="{00000000-0009-0000-0000-000010000000}"/>
  <mergeCells count="2">
    <mergeCell ref="A1:Y1"/>
    <mergeCell ref="A2:Y2"/>
  </mergeCells>
  <pageMargins left="0.7" right="0.7" top="0.75" bottom="0.75" header="0.3" footer="0.3"/>
  <pageSetup scale="48" fitToHeight="0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9109-2473-4204-8B93-93FE0B7CD9BC}">
  <sheetPr>
    <pageSetUpPr fitToPage="1"/>
  </sheetPr>
  <dimension ref="A1:AA19"/>
  <sheetViews>
    <sheetView showGridLines="0" workbookViewId="0">
      <selection activeCell="T7" sqref="T7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67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3469.6</v>
      </c>
      <c r="R4" s="23"/>
      <c r="S4" s="23"/>
      <c r="T4" s="23"/>
      <c r="U4" s="28">
        <v>1285</v>
      </c>
      <c r="V4" s="24">
        <f t="shared" ref="V4:V14" si="0">C4-Q4-S4+U4-R4-T4</f>
        <v>1315.4</v>
      </c>
      <c r="W4" s="25">
        <f>Q4+V4</f>
        <v>4785</v>
      </c>
      <c r="X4" s="40" t="s">
        <v>26</v>
      </c>
      <c r="Y4" s="49">
        <f>+V4*0.1</f>
        <v>131.54000000000002</v>
      </c>
      <c r="Z4" s="49">
        <f>+Y4*1.08</f>
        <v>142.06320000000002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3280</v>
      </c>
      <c r="R6" s="27">
        <v>150</v>
      </c>
      <c r="S6" s="26">
        <v>70</v>
      </c>
      <c r="T6" s="26"/>
      <c r="U6" s="28"/>
      <c r="V6" s="24">
        <f t="shared" si="0"/>
        <v>0</v>
      </c>
      <c r="W6" s="25">
        <f t="shared" si="4"/>
        <v>3280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>
        <v>0</v>
      </c>
      <c r="T7" s="48">
        <v>264.81</v>
      </c>
      <c r="U7" s="28"/>
      <c r="V7" s="24">
        <f t="shared" si="0"/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/>
      <c r="T8" s="26"/>
      <c r="U8" s="28"/>
      <c r="V8" s="24">
        <f t="shared" si="0"/>
        <v>1345.8000000000002</v>
      </c>
      <c r="W8" s="25">
        <f t="shared" si="4"/>
        <v>4700</v>
      </c>
      <c r="X8" s="40" t="s">
        <v>26</v>
      </c>
      <c r="Y8" s="49">
        <f t="shared" si="6"/>
        <v>134.58000000000001</v>
      </c>
      <c r="Z8" s="49">
        <f t="shared" si="5"/>
        <v>145.34640000000002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2695.4</v>
      </c>
      <c r="R9" s="27"/>
      <c r="S9" s="26"/>
      <c r="T9" s="48">
        <v>588.71</v>
      </c>
      <c r="U9" s="28"/>
      <c r="V9" s="24">
        <f t="shared" si="0"/>
        <v>69.889999999999873</v>
      </c>
      <c r="W9" s="25">
        <f t="shared" si="4"/>
        <v>2765.29</v>
      </c>
      <c r="X9" s="40" t="s">
        <v>35</v>
      </c>
      <c r="Y9" s="49">
        <f t="shared" si="6"/>
        <v>6.9889999999999874</v>
      </c>
      <c r="Z9" s="49">
        <f t="shared" si="5"/>
        <v>7.5481199999999866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2000</v>
      </c>
      <c r="R10" s="27"/>
      <c r="S10" s="26"/>
      <c r="T10" s="26">
        <v>2000</v>
      </c>
      <c r="U10" s="28"/>
      <c r="V10" s="24">
        <f t="shared" si="0"/>
        <v>0</v>
      </c>
      <c r="W10" s="25">
        <f t="shared" si="4"/>
        <v>2000</v>
      </c>
      <c r="X10" s="40" t="s">
        <v>35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300</v>
      </c>
      <c r="S11" s="26">
        <v>35</v>
      </c>
      <c r="T11" s="26"/>
      <c r="U11" s="28"/>
      <c r="V11" s="24">
        <f t="shared" si="0"/>
        <v>310.80000000000018</v>
      </c>
      <c r="W11" s="25">
        <f t="shared" si="4"/>
        <v>3665</v>
      </c>
      <c r="X11" s="40" t="s">
        <v>35</v>
      </c>
      <c r="Y11" s="49">
        <f t="shared" si="6"/>
        <v>31.08000000000002</v>
      </c>
      <c r="Z11" s="49">
        <f t="shared" si="5"/>
        <v>33.566400000000023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>
        <v>0</v>
      </c>
      <c r="S14" s="26">
        <v>70</v>
      </c>
      <c r="T14" s="26"/>
      <c r="U14" s="28"/>
      <c r="V14" s="24">
        <f t="shared" si="0"/>
        <v>1575.8000000000002</v>
      </c>
      <c r="W14" s="25">
        <f t="shared" si="4"/>
        <v>4930</v>
      </c>
      <c r="X14" s="40" t="s">
        <v>35</v>
      </c>
      <c r="Y14" s="49">
        <f t="shared" si="6"/>
        <v>157.58000000000004</v>
      </c>
      <c r="Z14" s="49">
        <f t="shared" si="5"/>
        <v>170.18640000000005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34764.6</v>
      </c>
      <c r="R15" s="20">
        <f t="shared" ref="R15:W15" si="8">SUM(R4:R14)</f>
        <v>750</v>
      </c>
      <c r="S15" s="20">
        <f t="shared" si="8"/>
        <v>175</v>
      </c>
      <c r="T15" s="20">
        <f t="shared" si="8"/>
        <v>3553.52</v>
      </c>
      <c r="U15" s="20">
        <f>SUM(U4:U14)</f>
        <v>1285</v>
      </c>
      <c r="V15" s="20">
        <f>SUM(V4:V14)</f>
        <v>6250.0800000000008</v>
      </c>
      <c r="W15" s="20">
        <f t="shared" si="8"/>
        <v>41014.68</v>
      </c>
      <c r="Y15" s="20">
        <f>SUM(Y4:Y14)</f>
        <v>625.00800000000015</v>
      </c>
      <c r="Z15" s="20">
        <f>SUM(Z4:Z14)</f>
        <v>675.00864000000024</v>
      </c>
      <c r="AA15" s="10">
        <f>SUM(Z15+W15)</f>
        <v>41689.68864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>
        <v>45772</v>
      </c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B5CA2-A2E8-41C6-BB4E-B5B0A0901535}">
  <sheetPr>
    <pageSetUpPr fitToPage="1"/>
  </sheetPr>
  <dimension ref="A1:AA19"/>
  <sheetViews>
    <sheetView showGridLines="0" workbookViewId="0">
      <selection activeCell="A7" sqref="A7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68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1400</v>
      </c>
      <c r="V4" s="24">
        <f t="shared" ref="V4:V14" si="0">C4-Q4-S4+U4-R4-T4</f>
        <v>1545.6</v>
      </c>
      <c r="W4" s="25">
        <f>Q4+V4</f>
        <v>4900</v>
      </c>
      <c r="X4" s="40" t="s">
        <v>26</v>
      </c>
      <c r="Y4" s="49">
        <f>+V4*0.1</f>
        <v>154.56</v>
      </c>
      <c r="Z4" s="49">
        <f>+Y4*1.08</f>
        <v>166.9248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3090</v>
      </c>
      <c r="R6" s="27">
        <v>375</v>
      </c>
      <c r="S6" s="26">
        <v>35</v>
      </c>
      <c r="T6" s="26"/>
      <c r="U6" s="28"/>
      <c r="V6" s="24">
        <f t="shared" si="0"/>
        <v>0</v>
      </c>
      <c r="W6" s="25">
        <f t="shared" si="4"/>
        <v>3090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3128.4</v>
      </c>
      <c r="R7" s="27"/>
      <c r="S7" s="26">
        <v>0</v>
      </c>
      <c r="T7" s="48">
        <v>264.81</v>
      </c>
      <c r="U7" s="28">
        <v>125</v>
      </c>
      <c r="V7" s="24">
        <f t="shared" si="0"/>
        <v>231.78999999999991</v>
      </c>
      <c r="W7" s="25">
        <f t="shared" si="4"/>
        <v>3360.19</v>
      </c>
      <c r="X7" s="40" t="s">
        <v>30</v>
      </c>
      <c r="Y7" s="49">
        <f t="shared" si="6"/>
        <v>23.178999999999991</v>
      </c>
      <c r="Z7" s="49">
        <f t="shared" si="5"/>
        <v>25.033319999999993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175</v>
      </c>
      <c r="T8" s="26"/>
      <c r="U8" s="28"/>
      <c r="V8" s="24">
        <f t="shared" si="0"/>
        <v>1095.5999999999999</v>
      </c>
      <c r="W8" s="25">
        <f t="shared" si="4"/>
        <v>4450</v>
      </c>
      <c r="X8" s="40" t="s">
        <v>26</v>
      </c>
      <c r="Y8" s="49">
        <f t="shared" si="6"/>
        <v>109.56</v>
      </c>
      <c r="Z8" s="49">
        <f t="shared" si="5"/>
        <v>118.32480000000001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2680.6</v>
      </c>
      <c r="R9" s="27"/>
      <c r="S9" s="26"/>
      <c r="T9" s="48">
        <v>588.71</v>
      </c>
      <c r="U9" s="28"/>
      <c r="V9" s="24">
        <f t="shared" si="0"/>
        <v>84.690000000000055</v>
      </c>
      <c r="W9" s="25">
        <f t="shared" si="4"/>
        <v>2765.29</v>
      </c>
      <c r="X9" s="40" t="s">
        <v>35</v>
      </c>
      <c r="Y9" s="49">
        <f t="shared" si="6"/>
        <v>8.4690000000000065</v>
      </c>
      <c r="Z9" s="49">
        <f t="shared" si="5"/>
        <v>9.1465200000000078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375</v>
      </c>
      <c r="S11" s="26">
        <v>35</v>
      </c>
      <c r="T11" s="26"/>
      <c r="U11" s="28"/>
      <c r="V11" s="24">
        <f t="shared" si="0"/>
        <v>235.59999999999991</v>
      </c>
      <c r="W11" s="25">
        <f t="shared" si="4"/>
        <v>3590</v>
      </c>
      <c r="X11" s="40" t="s">
        <v>35</v>
      </c>
      <c r="Y11" s="49">
        <f t="shared" si="6"/>
        <v>23.559999999999992</v>
      </c>
      <c r="Z11" s="49">
        <f t="shared" si="5"/>
        <v>25.444799999999994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>
        <v>150</v>
      </c>
      <c r="S14" s="26">
        <v>70</v>
      </c>
      <c r="T14" s="26"/>
      <c r="U14" s="28"/>
      <c r="V14" s="24">
        <f t="shared" si="0"/>
        <v>1425.6</v>
      </c>
      <c r="W14" s="25">
        <f t="shared" si="4"/>
        <v>4780</v>
      </c>
      <c r="X14" s="40" t="s">
        <v>35</v>
      </c>
      <c r="Y14" s="49">
        <f t="shared" si="6"/>
        <v>142.56</v>
      </c>
      <c r="Z14" s="49">
        <f t="shared" si="5"/>
        <v>153.96480000000003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35944</v>
      </c>
      <c r="R15" s="20">
        <f t="shared" ref="R15:W15" si="8">SUM(R4:R14)</f>
        <v>1275</v>
      </c>
      <c r="S15" s="20">
        <f t="shared" si="8"/>
        <v>315</v>
      </c>
      <c r="T15" s="20">
        <f t="shared" si="8"/>
        <v>1553.52</v>
      </c>
      <c r="U15" s="20">
        <f>SUM(U4:U14)</f>
        <v>1525</v>
      </c>
      <c r="V15" s="20">
        <f>SUM(V4:V14)</f>
        <v>6645.880000000001</v>
      </c>
      <c r="W15" s="20">
        <f t="shared" si="8"/>
        <v>42589.880000000005</v>
      </c>
      <c r="Y15" s="20">
        <f>SUM(Y4:Y14)</f>
        <v>664.58799999999997</v>
      </c>
      <c r="Z15" s="20">
        <f>SUM(Z4:Z14)</f>
        <v>717.75504000000001</v>
      </c>
      <c r="AA15" s="10">
        <f>SUM(Z15+W15)</f>
        <v>43307.635040000008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>
        <v>45772</v>
      </c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8"/>
  <sheetViews>
    <sheetView showGridLines="0" topLeftCell="S1" workbookViewId="0">
      <selection activeCell="Z4" sqref="Z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840</v>
      </c>
      <c r="V4" s="24">
        <f t="shared" ref="V4:V13" si="0">C4-Q4-S4+U4-R4-T4</f>
        <v>985.80000000000018</v>
      </c>
      <c r="W4" s="25">
        <f>Q4+V4</f>
        <v>4340</v>
      </c>
      <c r="X4" s="40" t="s">
        <v>26</v>
      </c>
      <c r="Y4" s="49">
        <f>+V4*0.1</f>
        <v>98.580000000000027</v>
      </c>
      <c r="Z4" s="49">
        <f>+Y4*1.08</f>
        <v>106.46640000000004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:F6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/>
      <c r="U5" s="28"/>
      <c r="V5" s="24">
        <f t="shared" si="0"/>
        <v>1645.6</v>
      </c>
      <c r="W5" s="25">
        <f t="shared" ref="W5:W13" si="4">Q5+V5</f>
        <v>5000</v>
      </c>
      <c r="X5" s="40">
        <v>2</v>
      </c>
      <c r="Y5" s="49">
        <f>+V5*0.1</f>
        <v>164.56</v>
      </c>
      <c r="Z5" s="49">
        <f t="shared" ref="Z5:Z13" si="5">+Y5*1.08</f>
        <v>177.72480000000002</v>
      </c>
    </row>
    <row r="6" spans="1:27" ht="15.75" thickBot="1" x14ac:dyDescent="0.3">
      <c r="A6" s="42">
        <v>16</v>
      </c>
      <c r="B6" s="46" t="s">
        <v>21</v>
      </c>
      <c r="C6" s="44">
        <v>3354</v>
      </c>
      <c r="D6" s="6">
        <v>419.88</v>
      </c>
      <c r="E6" s="7">
        <f t="shared" si="1"/>
        <v>2519.2799999999997</v>
      </c>
      <c r="F6" s="8">
        <f t="shared" si="2"/>
        <v>419.88</v>
      </c>
      <c r="G6" s="13">
        <v>250</v>
      </c>
      <c r="H6" s="13">
        <f>($E$6+$F$6)*0.1</f>
        <v>293.916</v>
      </c>
      <c r="I6" s="13">
        <f>($E$6+$F$6)*0.1</f>
        <v>293.916</v>
      </c>
      <c r="J6" s="13">
        <v>0</v>
      </c>
      <c r="K6" s="13">
        <v>0</v>
      </c>
      <c r="L6" s="34">
        <f t="shared" si="3"/>
        <v>2939.16</v>
      </c>
      <c r="M6" s="30"/>
      <c r="N6" s="15"/>
      <c r="O6" s="14"/>
      <c r="P6" s="14"/>
      <c r="Q6" s="19">
        <v>3354.2</v>
      </c>
      <c r="R6" s="27"/>
      <c r="S6" s="26"/>
      <c r="T6" s="26"/>
      <c r="U6" s="28"/>
      <c r="V6" s="24">
        <v>0</v>
      </c>
      <c r="W6" s="25">
        <f>Q6+V6</f>
        <v>3354.2</v>
      </c>
      <c r="X6" s="40" t="s">
        <v>30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25</v>
      </c>
      <c r="B7" s="46" t="s">
        <v>31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3275</v>
      </c>
      <c r="R7" s="27">
        <v>225</v>
      </c>
      <c r="S7" s="26"/>
      <c r="T7" s="26"/>
      <c r="U7" s="28"/>
      <c r="V7" s="24">
        <f t="shared" si="0"/>
        <v>0</v>
      </c>
      <c r="W7" s="25">
        <f t="shared" si="4"/>
        <v>3275</v>
      </c>
      <c r="X7" s="40" t="s">
        <v>26</v>
      </c>
      <c r="Y7" s="49">
        <f t="shared" si="6"/>
        <v>0</v>
      </c>
      <c r="Z7" s="49">
        <f t="shared" si="5"/>
        <v>0</v>
      </c>
    </row>
    <row r="8" spans="1:27" ht="15.75" thickBot="1" x14ac:dyDescent="0.3">
      <c r="A8" s="42">
        <v>26</v>
      </c>
      <c r="B8" s="47" t="s">
        <v>32</v>
      </c>
      <c r="C8" s="44">
        <v>3500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2780</v>
      </c>
      <c r="R8" s="27"/>
      <c r="S8" s="26">
        <v>0</v>
      </c>
      <c r="T8" s="26">
        <f>500+220</f>
        <v>720</v>
      </c>
      <c r="U8" s="28"/>
      <c r="V8" s="24">
        <f t="shared" si="0"/>
        <v>0</v>
      </c>
      <c r="W8" s="25">
        <f t="shared" si="4"/>
        <v>2780</v>
      </c>
      <c r="X8" s="40" t="s">
        <v>30</v>
      </c>
      <c r="Y8" s="49">
        <f t="shared" si="6"/>
        <v>0</v>
      </c>
      <c r="Z8" s="49">
        <f t="shared" si="5"/>
        <v>0</v>
      </c>
    </row>
    <row r="9" spans="1:27" ht="15.75" thickBot="1" x14ac:dyDescent="0.3">
      <c r="A9" s="42">
        <v>27</v>
      </c>
      <c r="B9" s="47" t="s">
        <v>33</v>
      </c>
      <c r="C9" s="44">
        <v>5000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3354.2</v>
      </c>
      <c r="R9" s="27">
        <v>375</v>
      </c>
      <c r="S9" s="26">
        <v>70</v>
      </c>
      <c r="T9" s="26"/>
      <c r="U9" s="28"/>
      <c r="V9" s="24">
        <f t="shared" si="0"/>
        <v>1200.8000000000002</v>
      </c>
      <c r="W9" s="25">
        <f t="shared" si="4"/>
        <v>4555</v>
      </c>
      <c r="X9" s="40" t="s">
        <v>26</v>
      </c>
      <c r="Y9" s="49">
        <f t="shared" si="6"/>
        <v>120.08000000000003</v>
      </c>
      <c r="Z9" s="49">
        <f t="shared" si="5"/>
        <v>129.68640000000005</v>
      </c>
    </row>
    <row r="10" spans="1:27" ht="15.75" thickBot="1" x14ac:dyDescent="0.3">
      <c r="A10" s="42">
        <v>28</v>
      </c>
      <c r="B10" s="47" t="s">
        <v>34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2675.4</v>
      </c>
      <c r="R10" s="27"/>
      <c r="S10" s="26"/>
      <c r="T10" s="48">
        <v>608.66999999999996</v>
      </c>
      <c r="U10" s="28"/>
      <c r="V10" s="24">
        <f t="shared" si="0"/>
        <v>69.92999999999995</v>
      </c>
      <c r="W10" s="25">
        <f t="shared" si="4"/>
        <v>2745.33</v>
      </c>
      <c r="X10" s="40" t="s">
        <v>35</v>
      </c>
      <c r="Y10" s="49">
        <f t="shared" si="6"/>
        <v>6.992999999999995</v>
      </c>
      <c r="Z10" s="49">
        <f t="shared" si="5"/>
        <v>7.5524399999999954</v>
      </c>
    </row>
    <row r="11" spans="1:27" ht="15.75" thickBot="1" x14ac:dyDescent="0.3">
      <c r="A11" s="42">
        <v>33</v>
      </c>
      <c r="B11" s="47" t="s">
        <v>36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35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34</v>
      </c>
      <c r="B12" s="47" t="s">
        <v>37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>
        <v>375</v>
      </c>
      <c r="S12" s="26">
        <v>0</v>
      </c>
      <c r="T12" s="26"/>
      <c r="U12" s="28"/>
      <c r="V12" s="24">
        <f t="shared" si="0"/>
        <v>270.59999999999991</v>
      </c>
      <c r="W12" s="25">
        <f t="shared" si="4"/>
        <v>3625</v>
      </c>
      <c r="X12" s="40" t="s">
        <v>35</v>
      </c>
      <c r="Y12" s="49">
        <f t="shared" si="6"/>
        <v>27.059999999999992</v>
      </c>
      <c r="Z12" s="49">
        <f t="shared" si="5"/>
        <v>29.224799999999991</v>
      </c>
    </row>
    <row r="13" spans="1:27" ht="15.75" thickBot="1" x14ac:dyDescent="0.3">
      <c r="A13" s="42">
        <v>35</v>
      </c>
      <c r="B13" s="47" t="s">
        <v>38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3459.2</v>
      </c>
      <c r="R13" s="27"/>
      <c r="S13" s="26">
        <v>0</v>
      </c>
      <c r="T13" s="26"/>
      <c r="U13" s="28"/>
      <c r="V13" s="24">
        <f t="shared" si="0"/>
        <v>540.80000000000018</v>
      </c>
      <c r="W13" s="25">
        <f t="shared" si="4"/>
        <v>4000</v>
      </c>
      <c r="X13" s="40" t="s">
        <v>35</v>
      </c>
      <c r="Y13" s="49">
        <f t="shared" si="6"/>
        <v>54.08000000000002</v>
      </c>
      <c r="Z13" s="49">
        <f t="shared" si="5"/>
        <v>58.406400000000026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SUM(E4:E6)</f>
        <v>7557.8399999999992</v>
      </c>
      <c r="F14" s="20">
        <f t="shared" si="7"/>
        <v>1259.6399999999999</v>
      </c>
      <c r="G14" s="20">
        <f t="shared" si="7"/>
        <v>750</v>
      </c>
      <c r="H14" s="20">
        <f t="shared" si="7"/>
        <v>881.74800000000005</v>
      </c>
      <c r="I14" s="20">
        <f t="shared" si="7"/>
        <v>881.74800000000005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SUM(M4:M6)</f>
        <v>0</v>
      </c>
      <c r="N14" s="20">
        <f>SUM(N4:N6)</f>
        <v>0</v>
      </c>
      <c r="O14" s="20">
        <f>SUM(O4:O6)</f>
        <v>399.93</v>
      </c>
      <c r="P14" s="20">
        <f>SUM(P4:P6)</f>
        <v>0.06</v>
      </c>
      <c r="Q14" s="20">
        <f>SUM(Q4:Q13)</f>
        <v>32420.400000000005</v>
      </c>
      <c r="R14" s="20">
        <f t="shared" ref="R14:W14" si="8">SUM(R4:R13)</f>
        <v>975</v>
      </c>
      <c r="S14" s="20">
        <f t="shared" si="8"/>
        <v>70</v>
      </c>
      <c r="T14" s="20">
        <f t="shared" si="8"/>
        <v>1328.67</v>
      </c>
      <c r="U14" s="20">
        <f>SUM(U4:U13)</f>
        <v>840</v>
      </c>
      <c r="V14" s="20">
        <f>SUM(V4:V13)</f>
        <v>5254.13</v>
      </c>
      <c r="W14" s="20">
        <f t="shared" si="8"/>
        <v>37674.53</v>
      </c>
      <c r="Y14" s="20">
        <f>SUM(Y4:Y13)</f>
        <v>525.41300000000012</v>
      </c>
      <c r="Z14" s="20">
        <f>SUM(Z4:Z13)</f>
        <v>567.44604000000015</v>
      </c>
      <c r="AA14" s="10">
        <f>SUM(Z14+W14)</f>
        <v>38241.976040000001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6FBF6-B58A-43FA-8EE8-625BDA899883}">
  <sheetPr>
    <pageSetUpPr fitToPage="1"/>
  </sheetPr>
  <dimension ref="A1:AA19"/>
  <sheetViews>
    <sheetView showGridLines="0" topLeftCell="C1" workbookViewId="0">
      <selection activeCell="U3" sqref="U3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69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1130</v>
      </c>
      <c r="V4" s="24">
        <f t="shared" ref="V4:V14" si="0">C4-Q4-S4+U4-R4-T4</f>
        <v>1275.8000000000002</v>
      </c>
      <c r="W4" s="25">
        <f>Q4+V4</f>
        <v>4630</v>
      </c>
      <c r="X4" s="40" t="s">
        <v>26</v>
      </c>
      <c r="Y4" s="49">
        <f>+V4*0.1</f>
        <v>127.58000000000003</v>
      </c>
      <c r="Z4" s="49">
        <f>+Y4*1.08</f>
        <v>137.78640000000004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3165</v>
      </c>
      <c r="R6" s="27">
        <v>300</v>
      </c>
      <c r="S6" s="26">
        <v>35</v>
      </c>
      <c r="T6" s="26"/>
      <c r="U6" s="28"/>
      <c r="V6" s="24">
        <f t="shared" si="0"/>
        <v>0</v>
      </c>
      <c r="W6" s="25">
        <f t="shared" si="4"/>
        <v>3165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>
        <v>0</v>
      </c>
      <c r="T7" s="48">
        <v>264.81</v>
      </c>
      <c r="U7" s="28"/>
      <c r="V7" s="24">
        <f t="shared" si="0"/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0</v>
      </c>
      <c r="T8" s="26"/>
      <c r="U8" s="28"/>
      <c r="V8" s="24">
        <f t="shared" si="0"/>
        <v>1270.8000000000002</v>
      </c>
      <c r="W8" s="25">
        <f t="shared" si="4"/>
        <v>4625</v>
      </c>
      <c r="X8" s="40" t="s">
        <v>26</v>
      </c>
      <c r="Y8" s="49">
        <f t="shared" si="6"/>
        <v>127.08000000000003</v>
      </c>
      <c r="Z8" s="49">
        <f t="shared" si="5"/>
        <v>137.24640000000005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/>
      <c r="T11" s="26"/>
      <c r="U11" s="28"/>
      <c r="V11" s="24">
        <f t="shared" si="0"/>
        <v>270.80000000000018</v>
      </c>
      <c r="W11" s="25">
        <f t="shared" si="4"/>
        <v>3625</v>
      </c>
      <c r="X11" s="40" t="s">
        <v>35</v>
      </c>
      <c r="Y11" s="49">
        <f t="shared" si="6"/>
        <v>27.08000000000002</v>
      </c>
      <c r="Z11" s="49">
        <f t="shared" si="5"/>
        <v>29.246400000000023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2000</v>
      </c>
      <c r="R12" s="27"/>
      <c r="S12" s="26">
        <v>0</v>
      </c>
      <c r="T12" s="26">
        <v>2000</v>
      </c>
      <c r="U12" s="28"/>
      <c r="V12" s="24">
        <f t="shared" si="0"/>
        <v>0</v>
      </c>
      <c r="W12" s="25">
        <f t="shared" si="4"/>
        <v>2000</v>
      </c>
      <c r="X12" s="40" t="s">
        <v>35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/>
      <c r="S14" s="26">
        <v>35</v>
      </c>
      <c r="T14" s="26"/>
      <c r="U14" s="28"/>
      <c r="V14" s="24">
        <f t="shared" si="0"/>
        <v>1610.8000000000002</v>
      </c>
      <c r="W14" s="25">
        <f t="shared" si="4"/>
        <v>4965</v>
      </c>
      <c r="X14" s="40" t="s">
        <v>35</v>
      </c>
      <c r="Y14" s="49">
        <f t="shared" si="6"/>
        <v>161.08000000000004</v>
      </c>
      <c r="Z14" s="49">
        <f t="shared" si="5"/>
        <v>173.96640000000005</v>
      </c>
    </row>
    <row r="15" spans="1:27" ht="15.75" thickBot="1" x14ac:dyDescent="0.3">
      <c r="A15" s="36"/>
      <c r="B15" s="37"/>
      <c r="C15" s="38">
        <f>SUM(C4:C14)</f>
        <v>44208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34534.800000000003</v>
      </c>
      <c r="R15" s="20">
        <f t="shared" ref="R15:W15" si="8">SUM(R4:R14)</f>
        <v>1050</v>
      </c>
      <c r="S15" s="20">
        <f t="shared" si="8"/>
        <v>70</v>
      </c>
      <c r="T15" s="20">
        <f t="shared" si="8"/>
        <v>3553.52</v>
      </c>
      <c r="U15" s="20">
        <f>SUM(U4:U14)</f>
        <v>1130</v>
      </c>
      <c r="V15" s="20">
        <f>SUM(V4:V14)</f>
        <v>6129.880000000001</v>
      </c>
      <c r="W15" s="20">
        <f t="shared" si="8"/>
        <v>40664.68</v>
      </c>
      <c r="Y15" s="20">
        <f>SUM(Y4:Y14)</f>
        <v>612.98800000000017</v>
      </c>
      <c r="Z15" s="20">
        <f>SUM(Z4:Z14)</f>
        <v>662.02704000000017</v>
      </c>
      <c r="AA15" s="10">
        <f>SUM(Z15+W15)</f>
        <v>41326.707040000001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1CE14-4214-4E7D-AFA4-2F643CF7A4B5}">
  <sheetPr>
    <pageSetUpPr fitToPage="1"/>
  </sheetPr>
  <dimension ref="A1:AA19"/>
  <sheetViews>
    <sheetView showGridLines="0" topLeftCell="A2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1380</v>
      </c>
      <c r="V4" s="24">
        <f t="shared" ref="V4:V14" si="0">C4-Q4-S4+U4-R4-T4</f>
        <v>1525.6</v>
      </c>
      <c r="W4" s="25">
        <f>Q4+V4</f>
        <v>4880</v>
      </c>
      <c r="X4" s="40" t="s">
        <v>26</v>
      </c>
      <c r="Y4" s="49">
        <f>+V4*0.1</f>
        <v>152.56</v>
      </c>
      <c r="Z4" s="49">
        <f>+Y4*1.08</f>
        <v>164.76480000000001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3370</v>
      </c>
      <c r="R6" s="27">
        <v>150</v>
      </c>
      <c r="S6" s="26">
        <v>105</v>
      </c>
      <c r="T6" s="26"/>
      <c r="U6" s="28">
        <v>125</v>
      </c>
      <c r="V6" s="80">
        <f t="shared" si="0"/>
        <v>0</v>
      </c>
      <c r="W6" s="25">
        <f t="shared" si="4"/>
        <v>3370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>
        <v>0</v>
      </c>
      <c r="T7" s="48">
        <v>264.81</v>
      </c>
      <c r="U7" s="28"/>
      <c r="V7" s="24">
        <f t="shared" si="0"/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175</v>
      </c>
      <c r="T8" s="26"/>
      <c r="U8" s="28"/>
      <c r="V8" s="24">
        <f t="shared" si="0"/>
        <v>1095.5999999999999</v>
      </c>
      <c r="W8" s="25">
        <f t="shared" si="4"/>
        <v>4450</v>
      </c>
      <c r="X8" s="40" t="s">
        <v>26</v>
      </c>
      <c r="Y8" s="49">
        <f t="shared" si="6"/>
        <v>109.56</v>
      </c>
      <c r="Z8" s="49">
        <f t="shared" si="5"/>
        <v>118.32480000000001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2984.2</v>
      </c>
      <c r="R10" s="27"/>
      <c r="S10" s="26"/>
      <c r="T10" s="26">
        <v>752.13</v>
      </c>
      <c r="U10" s="28"/>
      <c r="V10" s="24">
        <f t="shared" si="0"/>
        <v>763.67000000000019</v>
      </c>
      <c r="W10" s="25">
        <f t="shared" si="4"/>
        <v>3747.87</v>
      </c>
      <c r="X10" s="40" t="s">
        <v>35</v>
      </c>
      <c r="Y10" s="49">
        <f t="shared" si="6"/>
        <v>76.367000000000019</v>
      </c>
      <c r="Z10" s="49">
        <f t="shared" si="5"/>
        <v>82.476360000000028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375</v>
      </c>
      <c r="S11" s="26">
        <v>70</v>
      </c>
      <c r="T11" s="26"/>
      <c r="U11" s="28"/>
      <c r="V11" s="24">
        <f t="shared" si="0"/>
        <v>200.59999999999991</v>
      </c>
      <c r="W11" s="25">
        <f t="shared" si="4"/>
        <v>3555</v>
      </c>
      <c r="X11" s="40" t="s">
        <v>35</v>
      </c>
      <c r="Y11" s="49">
        <f t="shared" si="6"/>
        <v>20.059999999999992</v>
      </c>
      <c r="Z11" s="49">
        <f t="shared" si="5"/>
        <v>21.664799999999993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/>
      <c r="S14" s="26">
        <v>70</v>
      </c>
      <c r="T14" s="26"/>
      <c r="U14" s="28"/>
      <c r="V14" s="24">
        <f t="shared" si="0"/>
        <v>1575.6</v>
      </c>
      <c r="W14" s="25">
        <f t="shared" si="4"/>
        <v>4930</v>
      </c>
      <c r="X14" s="40" t="s">
        <v>35</v>
      </c>
      <c r="Y14" s="49">
        <f t="shared" si="6"/>
        <v>157.56</v>
      </c>
      <c r="Z14" s="49">
        <f t="shared" si="5"/>
        <v>170.16480000000001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35724.600000000006</v>
      </c>
      <c r="R15" s="20">
        <f t="shared" ref="R15:W15" si="8">SUM(R4:R14)</f>
        <v>900</v>
      </c>
      <c r="S15" s="20">
        <f t="shared" si="8"/>
        <v>420</v>
      </c>
      <c r="T15" s="20">
        <f t="shared" si="8"/>
        <v>2305.65</v>
      </c>
      <c r="U15" s="20">
        <f>SUM(U4:U14)</f>
        <v>1505</v>
      </c>
      <c r="V15" s="20">
        <f>SUM(V4:V14)</f>
        <v>6863.15</v>
      </c>
      <c r="W15" s="20">
        <f t="shared" si="8"/>
        <v>42587.750000000007</v>
      </c>
      <c r="Y15" s="20">
        <f>SUM(Y4:Y14)</f>
        <v>686.31500000000005</v>
      </c>
      <c r="Z15" s="20">
        <f>SUM(Z4:Z14)</f>
        <v>741.2202000000002</v>
      </c>
      <c r="AA15" s="10">
        <f>SUM(Z15+W15)</f>
        <v>43328.970200000011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39BB7-8BFD-42E3-B4C5-0111ABC8B2F6}">
  <sheetPr>
    <pageSetUpPr fitToPage="1"/>
  </sheetPr>
  <dimension ref="A1:AA19"/>
  <sheetViews>
    <sheetView showGridLines="0" workbookViewId="0">
      <selection activeCell="W15" sqref="W1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1130</v>
      </c>
      <c r="V4" s="24">
        <f t="shared" ref="V4:V14" si="0">C4-Q4-S4+U4-R4-T4</f>
        <v>1275.8000000000002</v>
      </c>
      <c r="W4" s="25">
        <f>Q4+V4</f>
        <v>4630</v>
      </c>
      <c r="X4" s="40" t="s">
        <v>26</v>
      </c>
      <c r="Y4" s="49">
        <f>+V4*0.1</f>
        <v>127.58000000000003</v>
      </c>
      <c r="Z4" s="49">
        <f>+Y4*1.08</f>
        <v>137.78640000000004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3354.4</v>
      </c>
      <c r="R6" s="27">
        <v>0</v>
      </c>
      <c r="S6" s="26">
        <v>35</v>
      </c>
      <c r="T6" s="26"/>
      <c r="U6" s="28"/>
      <c r="V6" s="81">
        <f t="shared" si="0"/>
        <v>110.59999999999991</v>
      </c>
      <c r="W6" s="25">
        <f t="shared" si="4"/>
        <v>3465</v>
      </c>
      <c r="X6" s="40" t="s">
        <v>26</v>
      </c>
      <c r="Y6" s="49">
        <f t="shared" ref="Y6:Y14" si="6">+V6*0.1</f>
        <v>11.059999999999992</v>
      </c>
      <c r="Z6" s="49">
        <f t="shared" si="5"/>
        <v>11.944799999999992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>
        <v>0</v>
      </c>
      <c r="T7" s="48">
        <v>264.81</v>
      </c>
      <c r="U7" s="28"/>
      <c r="V7" s="24">
        <f t="shared" si="0"/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75</v>
      </c>
      <c r="S8" s="26">
        <v>0</v>
      </c>
      <c r="T8" s="26"/>
      <c r="U8" s="28"/>
      <c r="V8" s="24">
        <f t="shared" si="0"/>
        <v>1570.8000000000002</v>
      </c>
      <c r="W8" s="25">
        <f t="shared" si="4"/>
        <v>4925</v>
      </c>
      <c r="X8" s="40" t="s">
        <v>26</v>
      </c>
      <c r="Y8" s="49">
        <f t="shared" si="6"/>
        <v>157.08000000000004</v>
      </c>
      <c r="Z8" s="49">
        <f t="shared" si="5"/>
        <v>169.64640000000006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2695.4</v>
      </c>
      <c r="R9" s="27"/>
      <c r="S9" s="26"/>
      <c r="T9" s="48">
        <v>588.71</v>
      </c>
      <c r="U9" s="28"/>
      <c r="V9" s="24">
        <f t="shared" si="0"/>
        <v>69.889999999999873</v>
      </c>
      <c r="W9" s="25">
        <f t="shared" si="4"/>
        <v>2765.29</v>
      </c>
      <c r="X9" s="40" t="s">
        <v>35</v>
      </c>
      <c r="Y9" s="49">
        <f t="shared" si="6"/>
        <v>6.9889999999999874</v>
      </c>
      <c r="Z9" s="49">
        <f t="shared" si="5"/>
        <v>7.5481199999999866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1040.8000000000002</v>
      </c>
      <c r="W10" s="25">
        <f t="shared" si="4"/>
        <v>4500</v>
      </c>
      <c r="X10" s="40" t="s">
        <v>35</v>
      </c>
      <c r="Y10" s="49">
        <f t="shared" si="6"/>
        <v>104.08000000000003</v>
      </c>
      <c r="Z10" s="49">
        <f t="shared" si="5"/>
        <v>112.40640000000003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75</v>
      </c>
      <c r="S11" s="26">
        <v>0</v>
      </c>
      <c r="T11" s="26"/>
      <c r="U11" s="28"/>
      <c r="V11" s="24">
        <f t="shared" si="0"/>
        <v>570.59999999999991</v>
      </c>
      <c r="W11" s="25">
        <f t="shared" si="4"/>
        <v>3925</v>
      </c>
      <c r="X11" s="40" t="s">
        <v>35</v>
      </c>
      <c r="Y11" s="49">
        <f t="shared" si="6"/>
        <v>57.059999999999995</v>
      </c>
      <c r="Z11" s="49">
        <f t="shared" si="5"/>
        <v>61.6248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>
        <f>C13-Q13-S13+U13-R13-T13+0.2</f>
        <v>1.819100425848319E-13</v>
      </c>
      <c r="W13" s="25">
        <f t="shared" si="4"/>
        <v>3354.2</v>
      </c>
      <c r="X13" s="40" t="s">
        <v>35</v>
      </c>
      <c r="Y13" s="49">
        <f t="shared" si="6"/>
        <v>1.8191004258483192E-14</v>
      </c>
      <c r="Z13" s="49">
        <f t="shared" si="5"/>
        <v>1.9646284599161848E-14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/>
      <c r="S14" s="26">
        <v>0</v>
      </c>
      <c r="T14" s="26"/>
      <c r="U14" s="28"/>
      <c r="V14" s="24">
        <f t="shared" si="0"/>
        <v>1645.8000000000002</v>
      </c>
      <c r="W14" s="25">
        <f t="shared" si="4"/>
        <v>5000</v>
      </c>
      <c r="X14" s="40" t="s">
        <v>35</v>
      </c>
      <c r="Y14" s="49">
        <f t="shared" si="6"/>
        <v>164.58000000000004</v>
      </c>
      <c r="Z14" s="49">
        <f t="shared" si="5"/>
        <v>177.74640000000005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36183.599999999999</v>
      </c>
      <c r="R15" s="20">
        <f t="shared" ref="R15:W15" si="8">SUM(R4:R14)</f>
        <v>150</v>
      </c>
      <c r="S15" s="20">
        <f t="shared" si="8"/>
        <v>35</v>
      </c>
      <c r="T15" s="20">
        <f t="shared" si="8"/>
        <v>1553.52</v>
      </c>
      <c r="U15" s="20">
        <f>SUM(U4:U14)</f>
        <v>1130</v>
      </c>
      <c r="V15" s="20">
        <f>SUM(V4:V14)</f>
        <v>7916.0800000000008</v>
      </c>
      <c r="W15" s="20">
        <f t="shared" si="8"/>
        <v>44099.68</v>
      </c>
      <c r="Y15" s="20">
        <f>SUM(Y4:Y14)</f>
        <v>791.60799999999995</v>
      </c>
      <c r="Z15" s="20">
        <f>SUM(Z4:Z14)</f>
        <v>854.93664000000035</v>
      </c>
      <c r="AA15" s="10">
        <f>SUM(Z15+W15)</f>
        <v>44954.61664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1A82F-4BBA-411A-B6D7-7FCB3BE74A78}">
  <sheetPr>
    <pageSetUpPr fitToPage="1"/>
  </sheetPr>
  <dimension ref="A1:AA19"/>
  <sheetViews>
    <sheetView showGridLines="0" workbookViewId="0">
      <selection activeCell="R14" sqref="R1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3102</v>
      </c>
      <c r="R4" s="23"/>
      <c r="S4" s="23"/>
      <c r="T4" s="23"/>
      <c r="U4" s="28">
        <v>1370</v>
      </c>
      <c r="V4" s="24">
        <f t="shared" ref="V4:V14" si="0">C4-Q4-S4+U4-R4-T4</f>
        <v>1768</v>
      </c>
      <c r="W4" s="25">
        <f>Q4+V4</f>
        <v>4870</v>
      </c>
      <c r="X4" s="40" t="s">
        <v>26</v>
      </c>
      <c r="Y4" s="49">
        <f>+V4*0.1</f>
        <v>176.8</v>
      </c>
      <c r="Z4" s="49">
        <f>+Y4*1.08</f>
        <v>190.94400000000002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3102</v>
      </c>
      <c r="R5" s="27"/>
      <c r="S5" s="26"/>
      <c r="T5" s="26">
        <v>700</v>
      </c>
      <c r="U5" s="28"/>
      <c r="V5" s="24">
        <f t="shared" si="0"/>
        <v>1198</v>
      </c>
      <c r="W5" s="25">
        <f t="shared" ref="W5:W14" si="4">Q5+V5</f>
        <v>4300</v>
      </c>
      <c r="X5" s="40">
        <v>2</v>
      </c>
      <c r="Y5" s="49">
        <f>+V5*0.1</f>
        <v>119.80000000000001</v>
      </c>
      <c r="Z5" s="49">
        <f t="shared" ref="Z5:Z14" si="5">+Y5*1.08</f>
        <v>129.38400000000001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3107.2</v>
      </c>
      <c r="R6" s="27">
        <v>375</v>
      </c>
      <c r="S6" s="26"/>
      <c r="T6" s="26"/>
      <c r="U6" s="28"/>
      <c r="V6" s="81">
        <f t="shared" si="0"/>
        <v>17.800000000000182</v>
      </c>
      <c r="W6" s="25">
        <f t="shared" si="4"/>
        <v>3125</v>
      </c>
      <c r="X6" s="40" t="s">
        <v>26</v>
      </c>
      <c r="Y6" s="49">
        <f t="shared" ref="Y6:Y14" si="6">+V6*0.1</f>
        <v>1.7800000000000182</v>
      </c>
      <c r="Z6" s="49">
        <f t="shared" si="5"/>
        <v>1.9224000000000199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2837</v>
      </c>
      <c r="R7" s="27"/>
      <c r="S7" s="26">
        <v>0</v>
      </c>
      <c r="T7" s="48">
        <v>264.81</v>
      </c>
      <c r="U7" s="28"/>
      <c r="V7" s="24">
        <f t="shared" si="0"/>
        <v>398.19</v>
      </c>
      <c r="W7" s="25">
        <f t="shared" si="4"/>
        <v>3235.19</v>
      </c>
      <c r="X7" s="40" t="s">
        <v>30</v>
      </c>
      <c r="Y7" s="49">
        <f t="shared" si="6"/>
        <v>39.819000000000003</v>
      </c>
      <c r="Z7" s="49">
        <f t="shared" si="5"/>
        <v>43.004520000000007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3101.8</v>
      </c>
      <c r="R8" s="27"/>
      <c r="S8" s="26">
        <v>175</v>
      </c>
      <c r="T8" s="26"/>
      <c r="U8" s="28"/>
      <c r="V8" s="24">
        <f t="shared" si="0"/>
        <v>1723.1999999999998</v>
      </c>
      <c r="W8" s="25">
        <f t="shared" si="4"/>
        <v>4825</v>
      </c>
      <c r="X8" s="40" t="s">
        <v>26</v>
      </c>
      <c r="Y8" s="49">
        <f t="shared" si="6"/>
        <v>172.32</v>
      </c>
      <c r="Z8" s="49">
        <f t="shared" si="5"/>
        <v>186.10560000000001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2482.1999999999998</v>
      </c>
      <c r="R9" s="27"/>
      <c r="S9" s="26"/>
      <c r="T9" s="48">
        <v>588.71</v>
      </c>
      <c r="U9" s="28">
        <v>119.79</v>
      </c>
      <c r="V9" s="24">
        <f t="shared" si="0"/>
        <v>402.88000000000011</v>
      </c>
      <c r="W9" s="25">
        <f t="shared" si="4"/>
        <v>2885.08</v>
      </c>
      <c r="X9" s="40" t="s">
        <v>35</v>
      </c>
      <c r="Y9" s="49">
        <f t="shared" si="6"/>
        <v>40.288000000000011</v>
      </c>
      <c r="Z9" s="49">
        <f t="shared" si="5"/>
        <v>43.511040000000015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2757.6</v>
      </c>
      <c r="R10" s="27"/>
      <c r="S10" s="26"/>
      <c r="T10" s="26">
        <v>752.13</v>
      </c>
      <c r="U10" s="28"/>
      <c r="V10" s="24">
        <f t="shared" si="0"/>
        <v>990.2700000000001</v>
      </c>
      <c r="W10" s="25">
        <f t="shared" si="4"/>
        <v>3747.87</v>
      </c>
      <c r="X10" s="40" t="s">
        <v>26</v>
      </c>
      <c r="Y10" s="49">
        <f t="shared" si="6"/>
        <v>99.027000000000015</v>
      </c>
      <c r="Z10" s="49">
        <f t="shared" si="5"/>
        <v>106.94916000000002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3101.6</v>
      </c>
      <c r="R11" s="27">
        <v>375</v>
      </c>
      <c r="S11" s="26">
        <v>0</v>
      </c>
      <c r="T11" s="26"/>
      <c r="U11" s="28"/>
      <c r="V11" s="24">
        <f t="shared" si="0"/>
        <v>523.40000000000009</v>
      </c>
      <c r="W11" s="25">
        <f t="shared" si="4"/>
        <v>3625</v>
      </c>
      <c r="X11" s="40" t="s">
        <v>26</v>
      </c>
      <c r="Y11" s="49">
        <f t="shared" si="6"/>
        <v>52.340000000000011</v>
      </c>
      <c r="Z11" s="49">
        <f t="shared" si="5"/>
        <v>56.527200000000015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3186.2</v>
      </c>
      <c r="R12" s="27"/>
      <c r="S12" s="26">
        <v>0</v>
      </c>
      <c r="T12" s="26"/>
      <c r="U12" s="28"/>
      <c r="V12" s="24">
        <f t="shared" si="0"/>
        <v>813.80000000000018</v>
      </c>
      <c r="W12" s="25">
        <f t="shared" si="4"/>
        <v>4000</v>
      </c>
      <c r="X12" s="40" t="s">
        <v>74</v>
      </c>
      <c r="Y12" s="49">
        <f t="shared" si="6"/>
        <v>81.380000000000024</v>
      </c>
      <c r="Z12" s="49">
        <f t="shared" si="5"/>
        <v>87.890400000000028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3102</v>
      </c>
      <c r="R13" s="27"/>
      <c r="S13" s="26">
        <v>0</v>
      </c>
      <c r="T13" s="26"/>
      <c r="U13" s="28"/>
      <c r="V13" s="24">
        <f>C13-Q13-S13+U13-R13-T13+0.2</f>
        <v>252.2</v>
      </c>
      <c r="W13" s="25">
        <f t="shared" si="4"/>
        <v>3354.2</v>
      </c>
      <c r="X13" s="40" t="s">
        <v>73</v>
      </c>
      <c r="Y13" s="49">
        <f t="shared" si="6"/>
        <v>25.22</v>
      </c>
      <c r="Z13" s="49">
        <f t="shared" si="5"/>
        <v>27.2376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3102</v>
      </c>
      <c r="R14" s="27">
        <v>225</v>
      </c>
      <c r="S14" s="26">
        <v>0</v>
      </c>
      <c r="T14" s="26"/>
      <c r="U14" s="28"/>
      <c r="V14" s="24">
        <f t="shared" si="0"/>
        <v>1673</v>
      </c>
      <c r="W14" s="25">
        <f t="shared" si="4"/>
        <v>4775</v>
      </c>
      <c r="X14" s="40" t="s">
        <v>26</v>
      </c>
      <c r="Y14" s="49">
        <f t="shared" si="6"/>
        <v>167.3</v>
      </c>
      <c r="Z14" s="49">
        <f t="shared" si="5"/>
        <v>180.68400000000003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32981.599999999999</v>
      </c>
      <c r="R15" s="20">
        <f t="shared" ref="R15:W15" si="8">SUM(R4:R14)</f>
        <v>975</v>
      </c>
      <c r="S15" s="20">
        <f t="shared" si="8"/>
        <v>175</v>
      </c>
      <c r="T15" s="20">
        <f t="shared" si="8"/>
        <v>2305.65</v>
      </c>
      <c r="U15" s="20">
        <f>SUM(U4:U14)</f>
        <v>1489.79</v>
      </c>
      <c r="V15" s="20">
        <f>SUM(V4:V14)</f>
        <v>9760.7400000000016</v>
      </c>
      <c r="W15" s="20">
        <f t="shared" si="8"/>
        <v>42742.34</v>
      </c>
      <c r="Y15" s="20">
        <f>SUM(Y4:Y14)</f>
        <v>976.07400000000007</v>
      </c>
      <c r="Z15" s="20">
        <f>SUM(Z4:Z14)</f>
        <v>1054.1599200000001</v>
      </c>
      <c r="AA15" s="10">
        <f>SUM(Z15+W15)</f>
        <v>43796.499919999995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F9BF-C62B-4063-A1E7-172AB0A84F3A}">
  <sheetPr>
    <pageSetUpPr fitToPage="1"/>
  </sheetPr>
  <dimension ref="A1:AA19"/>
  <sheetViews>
    <sheetView showGridLines="0" workbookViewId="0">
      <selection activeCell="V12" sqref="V12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490</v>
      </c>
      <c r="V4" s="24">
        <f t="shared" ref="V4:V14" si="0">C4-Q4-S4+U4-R4-T4</f>
        <v>635.59999999999991</v>
      </c>
      <c r="W4" s="25">
        <f>Q4+V4</f>
        <v>3990</v>
      </c>
      <c r="X4" s="40" t="s">
        <v>26</v>
      </c>
      <c r="Y4" s="49">
        <f>+V4*0.1</f>
        <v>63.559999999999995</v>
      </c>
      <c r="Z4" s="49">
        <f>+Y4*1.08</f>
        <v>68.644800000000004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3280</v>
      </c>
      <c r="R6" s="27">
        <v>150</v>
      </c>
      <c r="S6" s="26">
        <v>70</v>
      </c>
      <c r="T6" s="26"/>
      <c r="U6" s="28"/>
      <c r="V6" s="81">
        <f t="shared" si="0"/>
        <v>0</v>
      </c>
      <c r="W6" s="25">
        <f t="shared" si="4"/>
        <v>3280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>
        <v>0</v>
      </c>
      <c r="T7" s="48">
        <v>264.81</v>
      </c>
      <c r="U7" s="28"/>
      <c r="V7" s="24">
        <f t="shared" si="0"/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3577.8</v>
      </c>
      <c r="R8" s="27">
        <v>375</v>
      </c>
      <c r="S8" s="26"/>
      <c r="T8" s="26"/>
      <c r="U8" s="28">
        <v>1071.42</v>
      </c>
      <c r="V8" s="24">
        <f t="shared" si="0"/>
        <v>2118.62</v>
      </c>
      <c r="W8" s="25">
        <f t="shared" si="4"/>
        <v>5696.42</v>
      </c>
      <c r="X8" s="40" t="s">
        <v>26</v>
      </c>
      <c r="Y8" s="49">
        <f t="shared" si="6"/>
        <v>211.86199999999999</v>
      </c>
      <c r="Z8" s="49">
        <f t="shared" si="5"/>
        <v>228.81096000000002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2734.6</v>
      </c>
      <c r="R9" s="27"/>
      <c r="S9" s="26"/>
      <c r="T9" s="48">
        <v>588.71</v>
      </c>
      <c r="U9" s="28">
        <v>119.79</v>
      </c>
      <c r="V9" s="24">
        <f t="shared" si="0"/>
        <v>150.48000000000002</v>
      </c>
      <c r="W9" s="25">
        <f t="shared" si="4"/>
        <v>2885.08</v>
      </c>
      <c r="X9" s="40" t="s">
        <v>35</v>
      </c>
      <c r="Y9" s="49">
        <f t="shared" si="6"/>
        <v>15.048000000000002</v>
      </c>
      <c r="Z9" s="49">
        <f t="shared" si="5"/>
        <v>16.251840000000001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2804.2</v>
      </c>
      <c r="R10" s="27"/>
      <c r="S10" s="26"/>
      <c r="T10" s="26">
        <v>1241.99</v>
      </c>
      <c r="U10" s="28"/>
      <c r="V10" s="24">
        <f t="shared" si="0"/>
        <v>453.81000000000017</v>
      </c>
      <c r="W10" s="25">
        <f t="shared" si="4"/>
        <v>3258.01</v>
      </c>
      <c r="X10" s="40" t="s">
        <v>26</v>
      </c>
      <c r="Y10" s="49">
        <f t="shared" si="6"/>
        <v>45.381000000000022</v>
      </c>
      <c r="Z10" s="49">
        <f t="shared" si="5"/>
        <v>49.011480000000027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375</v>
      </c>
      <c r="S11" s="26">
        <v>0</v>
      </c>
      <c r="T11" s="26"/>
      <c r="U11" s="28"/>
      <c r="V11" s="24">
        <f t="shared" si="0"/>
        <v>270.59999999999991</v>
      </c>
      <c r="W11" s="25">
        <f t="shared" si="4"/>
        <v>3625</v>
      </c>
      <c r="X11" s="40" t="s">
        <v>26</v>
      </c>
      <c r="Y11" s="49">
        <f t="shared" si="6"/>
        <v>27.059999999999992</v>
      </c>
      <c r="Z11" s="49">
        <f t="shared" si="5"/>
        <v>29.224799999999991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74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>
        <v>300</v>
      </c>
      <c r="S14" s="26">
        <v>105</v>
      </c>
      <c r="T14" s="26"/>
      <c r="U14" s="28"/>
      <c r="V14" s="24">
        <f t="shared" si="0"/>
        <v>1240.8000000000002</v>
      </c>
      <c r="W14" s="25">
        <f t="shared" si="4"/>
        <v>4595</v>
      </c>
      <c r="X14" s="40" t="s">
        <v>26</v>
      </c>
      <c r="Y14" s="49">
        <f t="shared" si="6"/>
        <v>124.08000000000003</v>
      </c>
      <c r="Z14" s="49">
        <f t="shared" si="5"/>
        <v>134.00640000000004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35717</v>
      </c>
      <c r="R15" s="20">
        <f t="shared" ref="R15:W15" si="8">SUM(R4:R14)</f>
        <v>1200</v>
      </c>
      <c r="S15" s="20">
        <f t="shared" si="8"/>
        <v>175</v>
      </c>
      <c r="T15" s="20">
        <f t="shared" si="8"/>
        <v>2795.51</v>
      </c>
      <c r="U15" s="20">
        <f>SUM(U4:U14)</f>
        <v>1681.21</v>
      </c>
      <c r="V15" s="20">
        <f>SUM(V4:V14)</f>
        <v>6502.1</v>
      </c>
      <c r="W15" s="20">
        <f t="shared" si="8"/>
        <v>42219.100000000006</v>
      </c>
      <c r="Y15" s="20">
        <f>SUM(Y4:Y14)</f>
        <v>650.21000000000015</v>
      </c>
      <c r="Z15" s="20">
        <f>SUM(Z4:Z14)</f>
        <v>702.22680000000014</v>
      </c>
      <c r="AA15" s="10">
        <f>SUM(Z15+W15)</f>
        <v>42921.326800000003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7CED0-1B11-4B13-8026-14F9368846BA}">
  <sheetPr>
    <pageSetUpPr fitToPage="1"/>
  </sheetPr>
  <dimension ref="A1:AA19"/>
  <sheetViews>
    <sheetView showGridLines="0" workbookViewId="0">
      <selection activeCell="R3" sqref="R3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1290</v>
      </c>
      <c r="V4" s="24">
        <f t="shared" ref="V4:V14" si="0">C4-Q4-S4+U4-R4-T4</f>
        <v>1435.8000000000002</v>
      </c>
      <c r="W4" s="25">
        <f>Q4+V4</f>
        <v>4790</v>
      </c>
      <c r="X4" s="40" t="s">
        <v>26</v>
      </c>
      <c r="Y4" s="49">
        <f>+V4*0.1</f>
        <v>143.58000000000001</v>
      </c>
      <c r="Z4" s="49">
        <f>+Y4*1.08</f>
        <v>155.06640000000002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3055</v>
      </c>
      <c r="R6" s="27">
        <v>375</v>
      </c>
      <c r="S6" s="26">
        <v>70</v>
      </c>
      <c r="T6" s="26"/>
      <c r="U6" s="28"/>
      <c r="V6" s="81">
        <f t="shared" si="0"/>
        <v>0</v>
      </c>
      <c r="W6" s="25">
        <f t="shared" si="4"/>
        <v>3055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>
        <v>0</v>
      </c>
      <c r="T7" s="48">
        <v>264.81</v>
      </c>
      <c r="U7" s="28"/>
      <c r="V7" s="24">
        <f t="shared" si="0"/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/>
      <c r="T8" s="26"/>
      <c r="U8" s="28"/>
      <c r="V8" s="24">
        <f t="shared" si="0"/>
        <v>1270.5999999999999</v>
      </c>
      <c r="W8" s="25">
        <f t="shared" si="4"/>
        <v>4625</v>
      </c>
      <c r="X8" s="40" t="s">
        <v>26</v>
      </c>
      <c r="Y8" s="49">
        <f t="shared" si="6"/>
        <v>127.06</v>
      </c>
      <c r="Z8" s="49">
        <f t="shared" si="5"/>
        <v>137.22480000000002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2734.6</v>
      </c>
      <c r="R9" s="27"/>
      <c r="S9" s="26"/>
      <c r="T9" s="48">
        <v>588.71</v>
      </c>
      <c r="U9" s="28">
        <v>119.79</v>
      </c>
      <c r="V9" s="24">
        <f t="shared" si="0"/>
        <v>150.48000000000002</v>
      </c>
      <c r="W9" s="25">
        <f t="shared" si="4"/>
        <v>2885.08</v>
      </c>
      <c r="X9" s="40" t="s">
        <v>35</v>
      </c>
      <c r="Y9" s="49">
        <f t="shared" si="6"/>
        <v>15.048000000000002</v>
      </c>
      <c r="Z9" s="49">
        <f t="shared" si="5"/>
        <v>16.251840000000001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2804.2</v>
      </c>
      <c r="R10" s="27"/>
      <c r="S10" s="26"/>
      <c r="T10" s="26">
        <v>1241.99</v>
      </c>
      <c r="U10" s="28"/>
      <c r="V10" s="24">
        <f t="shared" si="0"/>
        <v>453.81000000000017</v>
      </c>
      <c r="W10" s="25">
        <f t="shared" si="4"/>
        <v>3258.01</v>
      </c>
      <c r="X10" s="40" t="s">
        <v>26</v>
      </c>
      <c r="Y10" s="49">
        <f t="shared" si="6"/>
        <v>45.381000000000022</v>
      </c>
      <c r="Z10" s="49">
        <f t="shared" si="5"/>
        <v>49.011480000000027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>
        <v>35</v>
      </c>
      <c r="T11" s="26"/>
      <c r="U11" s="28"/>
      <c r="V11" s="24">
        <f t="shared" si="0"/>
        <v>235.80000000000018</v>
      </c>
      <c r="W11" s="25">
        <f t="shared" si="4"/>
        <v>3590</v>
      </c>
      <c r="X11" s="40" t="s">
        <v>26</v>
      </c>
      <c r="Y11" s="49">
        <f t="shared" si="6"/>
        <v>23.58000000000002</v>
      </c>
      <c r="Z11" s="49">
        <f t="shared" si="5"/>
        <v>25.466400000000021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74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>
        <v>0</v>
      </c>
      <c r="S14" s="26">
        <v>140</v>
      </c>
      <c r="T14" s="26"/>
      <c r="U14" s="28"/>
      <c r="V14" s="24">
        <f t="shared" si="0"/>
        <v>1505.6</v>
      </c>
      <c r="W14" s="25">
        <f t="shared" si="4"/>
        <v>4860</v>
      </c>
      <c r="X14" s="40" t="s">
        <v>26</v>
      </c>
      <c r="Y14" s="49">
        <f t="shared" si="6"/>
        <v>150.56</v>
      </c>
      <c r="Z14" s="49">
        <f t="shared" si="5"/>
        <v>162.60480000000001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35268.200000000004</v>
      </c>
      <c r="R15" s="20">
        <f t="shared" ref="R15:W15" si="8">SUM(R4:R14)</f>
        <v>1125</v>
      </c>
      <c r="S15" s="20">
        <f t="shared" si="8"/>
        <v>245</v>
      </c>
      <c r="T15" s="20">
        <f t="shared" si="8"/>
        <v>2795.51</v>
      </c>
      <c r="U15" s="20">
        <f>SUM(U4:U14)</f>
        <v>1409.79</v>
      </c>
      <c r="V15" s="20">
        <f>SUM(V4:V14)</f>
        <v>6684.2800000000007</v>
      </c>
      <c r="W15" s="20">
        <f t="shared" si="8"/>
        <v>41952.480000000003</v>
      </c>
      <c r="Y15" s="20">
        <f>SUM(Y4:Y14)</f>
        <v>668.42800000000011</v>
      </c>
      <c r="Z15" s="20">
        <f>SUM(Z4:Z14)</f>
        <v>721.90224000000012</v>
      </c>
      <c r="AA15" s="10">
        <f>SUM(Z15+W15)</f>
        <v>42674.382240000006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B3C0-A6DE-4317-83E9-004450DB820E}">
  <sheetPr>
    <pageSetUpPr fitToPage="1"/>
  </sheetPr>
  <dimension ref="A1:AA19"/>
  <sheetViews>
    <sheetView showGridLines="0" workbookViewId="0">
      <selection activeCell="S12" sqref="S12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1490</v>
      </c>
      <c r="V4" s="24">
        <f t="shared" ref="V4:V14" si="0">C4-Q4-S4+U4-R4-T4</f>
        <v>1635.6</v>
      </c>
      <c r="W4" s="25">
        <f>Q4+V4</f>
        <v>4990</v>
      </c>
      <c r="X4" s="40" t="s">
        <v>26</v>
      </c>
      <c r="Y4" s="49">
        <f>+V4*0.1</f>
        <v>163.56</v>
      </c>
      <c r="Z4" s="49">
        <f>+Y4*1.08</f>
        <v>176.6448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3205</v>
      </c>
      <c r="R6" s="27">
        <v>225</v>
      </c>
      <c r="S6" s="26">
        <v>70</v>
      </c>
      <c r="T6" s="26"/>
      <c r="U6" s="28"/>
      <c r="V6" s="81">
        <f t="shared" si="0"/>
        <v>0</v>
      </c>
      <c r="W6" s="25">
        <f t="shared" si="4"/>
        <v>3205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>
        <v>0</v>
      </c>
      <c r="T7" s="48">
        <v>264.81</v>
      </c>
      <c r="U7" s="28"/>
      <c r="V7" s="24">
        <f t="shared" si="0"/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>
        <v>175</v>
      </c>
      <c r="T8" s="26"/>
      <c r="U8" s="28"/>
      <c r="V8" s="24">
        <f t="shared" si="0"/>
        <v>1170.8000000000002</v>
      </c>
      <c r="W8" s="25">
        <f t="shared" si="4"/>
        <v>4525</v>
      </c>
      <c r="X8" s="40" t="s">
        <v>26</v>
      </c>
      <c r="Y8" s="49">
        <f t="shared" si="6"/>
        <v>117.08000000000003</v>
      </c>
      <c r="Z8" s="49">
        <f t="shared" si="5"/>
        <v>126.44640000000004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3459.4</v>
      </c>
      <c r="R10" s="27"/>
      <c r="S10" s="26"/>
      <c r="T10" s="26"/>
      <c r="U10" s="28"/>
      <c r="V10" s="24">
        <f t="shared" si="0"/>
        <v>1040.5999999999999</v>
      </c>
      <c r="W10" s="25">
        <f t="shared" si="4"/>
        <v>4500</v>
      </c>
      <c r="X10" s="40" t="s">
        <v>26</v>
      </c>
      <c r="Y10" s="49">
        <f t="shared" si="6"/>
        <v>104.06</v>
      </c>
      <c r="Z10" s="49">
        <f t="shared" si="5"/>
        <v>112.38480000000001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300</v>
      </c>
      <c r="S11" s="26">
        <v>70</v>
      </c>
      <c r="T11" s="26"/>
      <c r="U11" s="28"/>
      <c r="V11" s="24">
        <f t="shared" si="0"/>
        <v>275.59999999999991</v>
      </c>
      <c r="W11" s="25">
        <f t="shared" si="4"/>
        <v>3630</v>
      </c>
      <c r="X11" s="40" t="s">
        <v>26</v>
      </c>
      <c r="Y11" s="49">
        <f t="shared" si="6"/>
        <v>27.559999999999992</v>
      </c>
      <c r="Z11" s="49">
        <f t="shared" si="5"/>
        <v>29.764799999999994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74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>
        <v>0</v>
      </c>
      <c r="S14" s="26">
        <v>70</v>
      </c>
      <c r="T14" s="26"/>
      <c r="U14" s="28"/>
      <c r="V14" s="24">
        <f t="shared" si="0"/>
        <v>1575.6</v>
      </c>
      <c r="W14" s="25">
        <f t="shared" si="4"/>
        <v>4930</v>
      </c>
      <c r="X14" s="40" t="s">
        <v>26</v>
      </c>
      <c r="Y14" s="49">
        <f t="shared" si="6"/>
        <v>157.56</v>
      </c>
      <c r="Z14" s="49">
        <f t="shared" si="5"/>
        <v>170.16480000000001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36035.000000000007</v>
      </c>
      <c r="R15" s="20">
        <f t="shared" ref="R15:W15" si="8">SUM(R4:R14)</f>
        <v>825</v>
      </c>
      <c r="S15" s="20">
        <f t="shared" si="8"/>
        <v>385</v>
      </c>
      <c r="T15" s="20">
        <f t="shared" si="8"/>
        <v>1553.52</v>
      </c>
      <c r="U15" s="20">
        <f>SUM(U4:U14)</f>
        <v>1490</v>
      </c>
      <c r="V15" s="20">
        <f>SUM(V4:V14)</f>
        <v>7399.880000000001</v>
      </c>
      <c r="W15" s="20">
        <f t="shared" si="8"/>
        <v>43434.880000000005</v>
      </c>
      <c r="Y15" s="20">
        <f>SUM(Y4:Y14)</f>
        <v>739.98800000000006</v>
      </c>
      <c r="Z15" s="20">
        <f>SUM(Z4:Z14)</f>
        <v>799.18704000000025</v>
      </c>
      <c r="AA15" s="10">
        <f>SUM(Z15+W15)</f>
        <v>44234.067040000002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E0E2-7D8B-4DEB-A48A-40D15E95B9D7}">
  <sheetPr>
    <pageSetUpPr fitToPage="1"/>
  </sheetPr>
  <dimension ref="A1:AA19"/>
  <sheetViews>
    <sheetView showGridLines="0" topLeftCell="A2" workbookViewId="0">
      <selection activeCell="B10" sqref="B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1080</v>
      </c>
      <c r="V4" s="24">
        <f t="shared" ref="V4:V14" si="0">C4-Q4-S4+U4-R4-T4</f>
        <v>1225.8000000000002</v>
      </c>
      <c r="W4" s="25">
        <f>Q4+V4</f>
        <v>4580</v>
      </c>
      <c r="X4" s="40" t="s">
        <v>26</v>
      </c>
      <c r="Y4" s="49">
        <f>+V4*0.1</f>
        <v>122.58000000000003</v>
      </c>
      <c r="Z4" s="49">
        <f>+Y4*1.08</f>
        <v>132.38640000000004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3275</v>
      </c>
      <c r="R6" s="27">
        <v>225</v>
      </c>
      <c r="S6" s="26">
        <v>0</v>
      </c>
      <c r="T6" s="26"/>
      <c r="U6" s="28"/>
      <c r="V6" s="81">
        <f t="shared" si="0"/>
        <v>0</v>
      </c>
      <c r="W6" s="25">
        <f t="shared" si="4"/>
        <v>3275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3128.4</v>
      </c>
      <c r="R7" s="27"/>
      <c r="S7" s="26">
        <v>0</v>
      </c>
      <c r="T7" s="48">
        <v>264.81</v>
      </c>
      <c r="U7" s="28">
        <v>125</v>
      </c>
      <c r="V7" s="24">
        <f t="shared" si="0"/>
        <v>231.78999999999991</v>
      </c>
      <c r="W7" s="25">
        <f t="shared" si="4"/>
        <v>3360.19</v>
      </c>
      <c r="X7" s="40" t="s">
        <v>30</v>
      </c>
      <c r="Y7" s="49">
        <f t="shared" si="6"/>
        <v>23.178999999999991</v>
      </c>
      <c r="Z7" s="49">
        <f t="shared" si="5"/>
        <v>25.033319999999993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0</v>
      </c>
      <c r="T8" s="26"/>
      <c r="U8" s="28"/>
      <c r="V8" s="24">
        <f t="shared" si="0"/>
        <v>1270.5999999999999</v>
      </c>
      <c r="W8" s="25">
        <f t="shared" si="4"/>
        <v>4625</v>
      </c>
      <c r="X8" s="40" t="s">
        <v>26</v>
      </c>
      <c r="Y8" s="49">
        <f t="shared" si="6"/>
        <v>127.06</v>
      </c>
      <c r="Z8" s="49">
        <f t="shared" si="5"/>
        <v>137.22480000000002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2695.6</v>
      </c>
      <c r="R9" s="27"/>
      <c r="S9" s="26"/>
      <c r="T9" s="48">
        <v>588.71</v>
      </c>
      <c r="U9" s="28"/>
      <c r="V9" s="24">
        <f t="shared" si="0"/>
        <v>69.690000000000055</v>
      </c>
      <c r="W9" s="25">
        <f t="shared" si="4"/>
        <v>2765.29</v>
      </c>
      <c r="X9" s="40" t="s">
        <v>35</v>
      </c>
      <c r="Y9" s="49">
        <f t="shared" si="6"/>
        <v>6.9690000000000056</v>
      </c>
      <c r="Z9" s="49">
        <f t="shared" si="5"/>
        <v>7.5265200000000068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1824.4</v>
      </c>
      <c r="R10" s="27"/>
      <c r="S10" s="26"/>
      <c r="T10" s="26">
        <v>2550.3200000000002</v>
      </c>
      <c r="U10" s="28"/>
      <c r="V10" s="24">
        <f t="shared" si="0"/>
        <v>125.27999999999975</v>
      </c>
      <c r="W10" s="25">
        <f t="shared" si="4"/>
        <v>1949.6799999999998</v>
      </c>
      <c r="X10" s="40" t="s">
        <v>26</v>
      </c>
      <c r="Y10" s="49">
        <f t="shared" si="6"/>
        <v>12.527999999999976</v>
      </c>
      <c r="Z10" s="49">
        <f t="shared" si="5"/>
        <v>13.530239999999974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3092</v>
      </c>
      <c r="R11" s="27">
        <v>375</v>
      </c>
      <c r="S11" s="26">
        <v>70</v>
      </c>
      <c r="T11" s="48">
        <v>463</v>
      </c>
      <c r="U11" s="28"/>
      <c r="V11" s="24">
        <f t="shared" si="0"/>
        <v>0</v>
      </c>
      <c r="W11" s="25">
        <f t="shared" si="4"/>
        <v>3092</v>
      </c>
      <c r="X11" s="40" t="s">
        <v>26</v>
      </c>
      <c r="Y11" s="49">
        <f t="shared" si="6"/>
        <v>0</v>
      </c>
      <c r="Z11" s="49">
        <f t="shared" si="5"/>
        <v>0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74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>
        <v>0</v>
      </c>
      <c r="S14" s="26">
        <v>140</v>
      </c>
      <c r="T14" s="26"/>
      <c r="U14" s="28"/>
      <c r="V14" s="24">
        <f t="shared" si="0"/>
        <v>1505.8000000000002</v>
      </c>
      <c r="W14" s="25">
        <f t="shared" si="4"/>
        <v>4860</v>
      </c>
      <c r="X14" s="40" t="s">
        <v>26</v>
      </c>
      <c r="Y14" s="49">
        <f t="shared" si="6"/>
        <v>150.58000000000001</v>
      </c>
      <c r="Z14" s="49">
        <f t="shared" si="5"/>
        <v>162.62640000000002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34246</v>
      </c>
      <c r="R15" s="20">
        <f t="shared" ref="R15:W15" si="8">SUM(R4:R14)</f>
        <v>975</v>
      </c>
      <c r="S15" s="20">
        <f t="shared" si="8"/>
        <v>210</v>
      </c>
      <c r="T15" s="20">
        <f t="shared" si="8"/>
        <v>4566.84</v>
      </c>
      <c r="U15" s="20">
        <f>SUM(U4:U14)</f>
        <v>1205</v>
      </c>
      <c r="V15" s="20">
        <f>SUM(V4:V14)</f>
        <v>5915.36</v>
      </c>
      <c r="W15" s="20">
        <f t="shared" si="8"/>
        <v>40161.360000000001</v>
      </c>
      <c r="Y15" s="20">
        <f>SUM(Y4:Y14)</f>
        <v>591.53600000000006</v>
      </c>
      <c r="Z15" s="20">
        <f>SUM(Z4:Z14)</f>
        <v>638.85888000000011</v>
      </c>
      <c r="AA15" s="10">
        <f>SUM(Z15+W15)</f>
        <v>40800.21888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DA0D-0789-4D7C-A3CF-41C35A17B7FB}">
  <sheetPr>
    <pageSetUpPr fitToPage="1"/>
  </sheetPr>
  <dimension ref="A1:AA19"/>
  <sheetViews>
    <sheetView showGridLines="0" workbookViewId="0">
      <selection activeCell="T11" sqref="T11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79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1560</v>
      </c>
      <c r="V4" s="24">
        <f t="shared" ref="V4:V14" si="0">C4-Q4-S4+U4-R4-T4</f>
        <v>1705.6</v>
      </c>
      <c r="W4" s="25">
        <f>Q4+V4</f>
        <v>5060</v>
      </c>
      <c r="X4" s="40" t="s">
        <v>26</v>
      </c>
      <c r="Y4" s="49">
        <f>+V4*0.1</f>
        <v>170.56</v>
      </c>
      <c r="Z4" s="49">
        <f>+Y4*1.08</f>
        <v>184.20480000000001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3125</v>
      </c>
      <c r="R6" s="27">
        <v>375</v>
      </c>
      <c r="S6" s="26">
        <v>0</v>
      </c>
      <c r="T6" s="26"/>
      <c r="U6" s="28"/>
      <c r="V6" s="81">
        <f t="shared" si="0"/>
        <v>0</v>
      </c>
      <c r="W6" s="25">
        <f t="shared" si="4"/>
        <v>3125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>
        <v>0</v>
      </c>
      <c r="T7" s="48">
        <v>264.81</v>
      </c>
      <c r="U7" s="28"/>
      <c r="V7" s="24">
        <f t="shared" si="0"/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0</v>
      </c>
      <c r="T8" s="26"/>
      <c r="U8" s="28"/>
      <c r="V8" s="24">
        <f t="shared" si="0"/>
        <v>1270.5999999999999</v>
      </c>
      <c r="W8" s="25">
        <f t="shared" si="4"/>
        <v>4625</v>
      </c>
      <c r="X8" s="40" t="s">
        <v>26</v>
      </c>
      <c r="Y8" s="49">
        <f t="shared" si="6"/>
        <v>127.06</v>
      </c>
      <c r="Z8" s="49">
        <f t="shared" si="5"/>
        <v>137.22480000000002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2688.6</v>
      </c>
      <c r="R9" s="27"/>
      <c r="S9" s="26"/>
      <c r="T9" s="48">
        <v>580.57000000000005</v>
      </c>
      <c r="U9" s="28"/>
      <c r="V9" s="24">
        <f t="shared" si="0"/>
        <v>84.830000000000041</v>
      </c>
      <c r="W9" s="25">
        <f t="shared" si="4"/>
        <v>2773.43</v>
      </c>
      <c r="X9" s="40" t="s">
        <v>35</v>
      </c>
      <c r="Y9" s="49">
        <f t="shared" si="6"/>
        <v>8.4830000000000041</v>
      </c>
      <c r="Z9" s="49">
        <f t="shared" si="5"/>
        <v>9.1616400000000056</v>
      </c>
    </row>
    <row r="10" spans="1:27" ht="15.75" thickBot="1" x14ac:dyDescent="0.3">
      <c r="A10" s="42">
        <v>33</v>
      </c>
      <c r="B10" s="47" t="s">
        <v>36</v>
      </c>
      <c r="C10" s="44">
        <v>4500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2706.4</v>
      </c>
      <c r="R10" s="27"/>
      <c r="S10" s="26"/>
      <c r="T10" s="26">
        <v>1504.27</v>
      </c>
      <c r="U10" s="28"/>
      <c r="V10" s="24">
        <f t="shared" si="0"/>
        <v>289.32999999999993</v>
      </c>
      <c r="W10" s="25">
        <f t="shared" si="4"/>
        <v>2995.73</v>
      </c>
      <c r="X10" s="40" t="s">
        <v>26</v>
      </c>
      <c r="Y10" s="49">
        <f t="shared" si="6"/>
        <v>28.932999999999993</v>
      </c>
      <c r="Z10" s="49">
        <f t="shared" si="5"/>
        <v>31.247639999999993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3057</v>
      </c>
      <c r="R11" s="27">
        <v>375</v>
      </c>
      <c r="S11" s="26">
        <v>105</v>
      </c>
      <c r="T11" s="48">
        <v>463</v>
      </c>
      <c r="U11" s="28"/>
      <c r="V11" s="24">
        <f t="shared" si="0"/>
        <v>0</v>
      </c>
      <c r="W11" s="25">
        <f t="shared" si="4"/>
        <v>3057</v>
      </c>
      <c r="X11" s="40" t="s">
        <v>26</v>
      </c>
      <c r="Y11" s="49">
        <f t="shared" si="6"/>
        <v>0</v>
      </c>
      <c r="Z11" s="49">
        <f t="shared" si="5"/>
        <v>0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74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3354.4</v>
      </c>
      <c r="R14" s="27">
        <v>0</v>
      </c>
      <c r="S14" s="26">
        <v>140</v>
      </c>
      <c r="T14" s="26"/>
      <c r="U14" s="28"/>
      <c r="V14" s="24">
        <f t="shared" si="0"/>
        <v>1505.6</v>
      </c>
      <c r="W14" s="25">
        <f t="shared" si="4"/>
        <v>4860</v>
      </c>
      <c r="X14" s="40" t="s">
        <v>26</v>
      </c>
      <c r="Y14" s="49">
        <f t="shared" si="6"/>
        <v>150.56</v>
      </c>
      <c r="Z14" s="49">
        <f t="shared" si="5"/>
        <v>162.60480000000001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34897.600000000006</v>
      </c>
      <c r="R15" s="20">
        <f t="shared" ref="R15:W15" si="8">SUM(R4:R14)</f>
        <v>1125</v>
      </c>
      <c r="S15" s="20">
        <f t="shared" si="8"/>
        <v>245</v>
      </c>
      <c r="T15" s="20">
        <f t="shared" si="8"/>
        <v>3512.65</v>
      </c>
      <c r="U15" s="20">
        <f>SUM(U4:U14)</f>
        <v>1560</v>
      </c>
      <c r="V15" s="20">
        <f>SUM(V4:V14)</f>
        <v>6488.15</v>
      </c>
      <c r="W15" s="20">
        <f t="shared" si="8"/>
        <v>41385.750000000007</v>
      </c>
      <c r="Y15" s="20">
        <f>SUM(Y4:Y14)</f>
        <v>648.81500000000005</v>
      </c>
      <c r="Z15" s="20">
        <f>SUM(Z4:Z14)</f>
        <v>700.72019999999998</v>
      </c>
      <c r="AA15" s="10">
        <f>SUM(Z15+W15)</f>
        <v>42086.470200000011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C898B-5FE8-4E88-B4BB-904244E97BD1}">
  <sheetPr>
    <pageSetUpPr fitToPage="1"/>
  </sheetPr>
  <dimension ref="A1:AA19"/>
  <sheetViews>
    <sheetView showGridLines="0" workbookViewId="0">
      <selection activeCell="T11" sqref="T11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>
        <v>313.5</v>
      </c>
      <c r="U4" s="28">
        <v>1320</v>
      </c>
      <c r="V4" s="24">
        <f t="shared" ref="V4:V14" si="0">C4-Q4-S4+U4-R4-T4</f>
        <v>1152.3000000000002</v>
      </c>
      <c r="W4" s="25">
        <f>Q4+V4</f>
        <v>4506.5</v>
      </c>
      <c r="X4" s="40" t="s">
        <v>26</v>
      </c>
      <c r="Y4" s="49">
        <f>+V4*0.1</f>
        <v>115.23000000000002</v>
      </c>
      <c r="Z4" s="49">
        <f>+Y4*1.08</f>
        <v>124.44840000000002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3354.2</v>
      </c>
      <c r="R6" s="27"/>
      <c r="S6" s="26">
        <v>0</v>
      </c>
      <c r="T6" s="26"/>
      <c r="U6" s="28"/>
      <c r="V6" s="81">
        <f t="shared" si="0"/>
        <v>145.80000000000018</v>
      </c>
      <c r="W6" s="25">
        <f t="shared" si="4"/>
        <v>3500</v>
      </c>
      <c r="X6" s="40" t="s">
        <v>26</v>
      </c>
      <c r="Y6" s="49">
        <f t="shared" ref="Y6:Y14" si="6">+V6*0.1</f>
        <v>14.58000000000002</v>
      </c>
      <c r="Z6" s="49">
        <f t="shared" si="5"/>
        <v>15.746400000000023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3313</v>
      </c>
      <c r="R7" s="27"/>
      <c r="S7" s="26">
        <v>0</v>
      </c>
      <c r="T7" s="48">
        <v>264.81</v>
      </c>
      <c r="U7" s="28">
        <v>750</v>
      </c>
      <c r="V7" s="24">
        <f t="shared" si="0"/>
        <v>672.19</v>
      </c>
      <c r="W7" s="25">
        <f t="shared" si="4"/>
        <v>3985.19</v>
      </c>
      <c r="X7" s="40" t="s">
        <v>30</v>
      </c>
      <c r="Y7" s="49">
        <f t="shared" si="6"/>
        <v>67.219000000000008</v>
      </c>
      <c r="Z7" s="49">
        <f t="shared" si="5"/>
        <v>72.596520000000012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175</v>
      </c>
      <c r="T8" s="23">
        <v>474.5</v>
      </c>
      <c r="U8" s="28"/>
      <c r="V8" s="24">
        <f t="shared" si="0"/>
        <v>621.30000000000018</v>
      </c>
      <c r="W8" s="25">
        <f t="shared" si="4"/>
        <v>3975.5</v>
      </c>
      <c r="X8" s="40" t="s">
        <v>26</v>
      </c>
      <c r="Y8" s="49">
        <f t="shared" si="6"/>
        <v>62.130000000000024</v>
      </c>
      <c r="Z8" s="49">
        <f t="shared" si="5"/>
        <v>67.100400000000036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</v>
      </c>
      <c r="R9" s="27"/>
      <c r="S9" s="26"/>
      <c r="T9" s="48">
        <v>579.21</v>
      </c>
      <c r="U9" s="28"/>
      <c r="V9" s="24">
        <f t="shared" si="0"/>
        <v>69.789999999999964</v>
      </c>
      <c r="W9" s="25">
        <f t="shared" si="4"/>
        <v>2774.79</v>
      </c>
      <c r="X9" s="40" t="s">
        <v>35</v>
      </c>
      <c r="Y9" s="49">
        <f t="shared" si="6"/>
        <v>6.9789999999999965</v>
      </c>
      <c r="Z9" s="49">
        <f t="shared" si="5"/>
        <v>7.5373199999999967</v>
      </c>
    </row>
    <row r="10" spans="1:27" ht="15.75" thickBot="1" x14ac:dyDescent="0.3">
      <c r="A10" s="82">
        <v>33</v>
      </c>
      <c r="B10" s="83" t="s">
        <v>36</v>
      </c>
      <c r="C10" s="84">
        <v>4500</v>
      </c>
      <c r="D10" s="85">
        <v>419.88</v>
      </c>
      <c r="E10" s="86">
        <f t="shared" si="1"/>
        <v>2519.2799999999997</v>
      </c>
      <c r="F10" s="87"/>
      <c r="G10" s="88"/>
      <c r="H10" s="88"/>
      <c r="I10" s="88"/>
      <c r="J10" s="88"/>
      <c r="K10" s="88"/>
      <c r="L10" s="89">
        <f t="shared" si="3"/>
        <v>2939.16</v>
      </c>
      <c r="M10" s="90"/>
      <c r="N10" s="91"/>
      <c r="O10" s="92"/>
      <c r="P10" s="92"/>
      <c r="Q10" s="93">
        <v>10746.6</v>
      </c>
      <c r="R10" s="94"/>
      <c r="S10" s="95"/>
      <c r="T10" s="95"/>
      <c r="U10" s="96"/>
      <c r="V10" s="97"/>
      <c r="W10" s="98">
        <f t="shared" si="4"/>
        <v>10746.6</v>
      </c>
      <c r="X10" s="40" t="s">
        <v>26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2681.6</v>
      </c>
      <c r="R11" s="27">
        <v>375</v>
      </c>
      <c r="S11" s="26">
        <v>175</v>
      </c>
      <c r="T11" s="48">
        <v>768.5</v>
      </c>
      <c r="U11" s="28"/>
      <c r="V11" s="99">
        <f>C11-Q11-S11+U11-R11-T11+0.1</f>
        <v>9.095502129241595E-14</v>
      </c>
      <c r="W11" s="25">
        <f t="shared" si="4"/>
        <v>2681.6</v>
      </c>
      <c r="X11" s="40" t="s">
        <v>26</v>
      </c>
      <c r="Y11" s="49">
        <f t="shared" si="6"/>
        <v>9.0955021292415962E-15</v>
      </c>
      <c r="Z11" s="49">
        <f t="shared" si="5"/>
        <v>9.823142299580924E-15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74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73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42">
        <v>37</v>
      </c>
      <c r="B14" s="47" t="s">
        <v>51</v>
      </c>
      <c r="C14" s="44">
        <v>5000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3354.2</v>
      </c>
      <c r="R14" s="27">
        <v>0</v>
      </c>
      <c r="S14" s="26"/>
      <c r="T14" s="23">
        <v>363.75</v>
      </c>
      <c r="U14" s="28"/>
      <c r="V14" s="24">
        <f t="shared" si="0"/>
        <v>1282.0500000000002</v>
      </c>
      <c r="W14" s="25">
        <f t="shared" si="4"/>
        <v>4636.25</v>
      </c>
      <c r="X14" s="40" t="s">
        <v>26</v>
      </c>
      <c r="Y14" s="49">
        <f t="shared" si="6"/>
        <v>128.20500000000001</v>
      </c>
      <c r="Z14" s="49">
        <f t="shared" si="5"/>
        <v>138.46140000000003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7">SUM(E4:E5)</f>
        <v>5038.5599999999995</v>
      </c>
      <c r="F15" s="20">
        <f t="shared" si="7"/>
        <v>839.76</v>
      </c>
      <c r="G15" s="20">
        <f t="shared" si="7"/>
        <v>500</v>
      </c>
      <c r="H15" s="20">
        <f t="shared" si="7"/>
        <v>587.83199999999999</v>
      </c>
      <c r="I15" s="20">
        <f t="shared" si="7"/>
        <v>587.83199999999999</v>
      </c>
      <c r="J15" s="20">
        <f t="shared" si="7"/>
        <v>312.41000000000003</v>
      </c>
      <c r="K15" s="20">
        <f t="shared" si="7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43030.799999999988</v>
      </c>
      <c r="R15" s="20">
        <f t="shared" ref="R15:W15" si="8">SUM(R4:R14)</f>
        <v>750</v>
      </c>
      <c r="S15" s="20">
        <f t="shared" si="8"/>
        <v>350</v>
      </c>
      <c r="T15" s="20">
        <f t="shared" si="8"/>
        <v>3464.27</v>
      </c>
      <c r="U15" s="20">
        <f>SUM(U4:U14)</f>
        <v>2070</v>
      </c>
      <c r="V15" s="20">
        <f>SUM(V4:V14)</f>
        <v>5429.8300000000008</v>
      </c>
      <c r="W15" s="20">
        <f t="shared" si="8"/>
        <v>48460.63</v>
      </c>
      <c r="Y15" s="20">
        <f>SUM(Y4:Y14)</f>
        <v>542.98300000000006</v>
      </c>
      <c r="Z15" s="20">
        <f>SUM(Z4:Z14)</f>
        <v>586.42164000000025</v>
      </c>
      <c r="AA15" s="10">
        <f>SUM(Z15+W15)</f>
        <v>49047.051639999998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8"/>
  <sheetViews>
    <sheetView showGridLines="0" topLeftCell="T1" workbookViewId="0">
      <selection activeCell="Z14" sqref="Z1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1300</v>
      </c>
      <c r="V4" s="24">
        <f t="shared" ref="V4:V13" si="0">C4-Q4-S4+U4-R4-T4</f>
        <v>1445.6</v>
      </c>
      <c r="W4" s="25">
        <f>Q4+V4</f>
        <v>4800</v>
      </c>
      <c r="X4" s="40" t="s">
        <v>26</v>
      </c>
      <c r="Y4" s="49">
        <f>+V4*0.1</f>
        <v>144.56</v>
      </c>
      <c r="Z4" s="49">
        <f>+Y4*1.08</f>
        <v>156.12480000000002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:F6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/>
      <c r="U5" s="28"/>
      <c r="V5" s="24">
        <f t="shared" si="0"/>
        <v>1645.8000000000002</v>
      </c>
      <c r="W5" s="25">
        <f t="shared" ref="W5:W13" si="4">Q5+V5</f>
        <v>5000</v>
      </c>
      <c r="X5" s="40">
        <v>2</v>
      </c>
      <c r="Y5" s="49">
        <f>+V5*0.1</f>
        <v>164.58000000000004</v>
      </c>
      <c r="Z5" s="49">
        <f t="shared" ref="Z5:Z13" si="5">+Y5*1.08</f>
        <v>177.74640000000005</v>
      </c>
    </row>
    <row r="6" spans="1:27" ht="15.75" thickBot="1" x14ac:dyDescent="0.3">
      <c r="A6" s="42">
        <v>16</v>
      </c>
      <c r="B6" s="46" t="s">
        <v>21</v>
      </c>
      <c r="C6" s="44">
        <v>3354</v>
      </c>
      <c r="D6" s="6">
        <v>419.88</v>
      </c>
      <c r="E6" s="7">
        <f t="shared" si="1"/>
        <v>2519.2799999999997</v>
      </c>
      <c r="F6" s="8">
        <f t="shared" si="2"/>
        <v>419.88</v>
      </c>
      <c r="G6" s="13">
        <v>250</v>
      </c>
      <c r="H6" s="13">
        <f>($E$6+$F$6)*0.1</f>
        <v>293.916</v>
      </c>
      <c r="I6" s="13">
        <f>($E$6+$F$6)*0.1</f>
        <v>293.916</v>
      </c>
      <c r="J6" s="13">
        <v>0</v>
      </c>
      <c r="K6" s="13">
        <v>0</v>
      </c>
      <c r="L6" s="34">
        <f t="shared" si="3"/>
        <v>2939.16</v>
      </c>
      <c r="M6" s="30"/>
      <c r="N6" s="15"/>
      <c r="O6" s="14"/>
      <c r="P6" s="14"/>
      <c r="Q6" s="19">
        <v>3354.4</v>
      </c>
      <c r="R6" s="27"/>
      <c r="S6" s="26"/>
      <c r="T6" s="26"/>
      <c r="U6" s="28"/>
      <c r="V6" s="24">
        <v>0</v>
      </c>
      <c r="W6" s="25">
        <f>Q6+V6</f>
        <v>3354.4</v>
      </c>
      <c r="X6" s="40" t="s">
        <v>30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25</v>
      </c>
      <c r="B7" s="46" t="s">
        <v>31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3275</v>
      </c>
      <c r="R7" s="27">
        <v>225</v>
      </c>
      <c r="S7" s="26"/>
      <c r="T7" s="26"/>
      <c r="U7" s="28"/>
      <c r="V7" s="24">
        <f t="shared" si="0"/>
        <v>0</v>
      </c>
      <c r="W7" s="25">
        <f t="shared" si="4"/>
        <v>3275</v>
      </c>
      <c r="X7" s="40" t="s">
        <v>26</v>
      </c>
      <c r="Y7" s="49">
        <f t="shared" si="6"/>
        <v>0</v>
      </c>
      <c r="Z7" s="49">
        <f t="shared" si="5"/>
        <v>0</v>
      </c>
    </row>
    <row r="8" spans="1:27" ht="15.75" thickBot="1" x14ac:dyDescent="0.3">
      <c r="A8" s="42">
        <v>26</v>
      </c>
      <c r="B8" s="47" t="s">
        <v>32</v>
      </c>
      <c r="C8" s="44">
        <v>3500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3000</v>
      </c>
      <c r="R8" s="27"/>
      <c r="S8" s="26">
        <v>0</v>
      </c>
      <c r="T8" s="26">
        <v>500</v>
      </c>
      <c r="U8" s="28"/>
      <c r="V8" s="24">
        <f t="shared" si="0"/>
        <v>0</v>
      </c>
      <c r="W8" s="25">
        <f t="shared" si="4"/>
        <v>3000</v>
      </c>
      <c r="X8" s="40" t="s">
        <v>30</v>
      </c>
      <c r="Y8" s="49">
        <f t="shared" si="6"/>
        <v>0</v>
      </c>
      <c r="Z8" s="49">
        <f t="shared" si="5"/>
        <v>0</v>
      </c>
    </row>
    <row r="9" spans="1:27" ht="15.75" thickBot="1" x14ac:dyDescent="0.3">
      <c r="A9" s="42">
        <v>27</v>
      </c>
      <c r="B9" s="47" t="s">
        <v>33</v>
      </c>
      <c r="C9" s="44">
        <v>5000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3354.4</v>
      </c>
      <c r="R9" s="27">
        <v>375</v>
      </c>
      <c r="S9" s="26">
        <v>140</v>
      </c>
      <c r="T9" s="26"/>
      <c r="U9" s="28"/>
      <c r="V9" s="24">
        <f t="shared" si="0"/>
        <v>1130.5999999999999</v>
      </c>
      <c r="W9" s="25">
        <f t="shared" si="4"/>
        <v>4485</v>
      </c>
      <c r="X9" s="40" t="s">
        <v>26</v>
      </c>
      <c r="Y9" s="49">
        <f t="shared" si="6"/>
        <v>113.06</v>
      </c>
      <c r="Z9" s="49">
        <f t="shared" si="5"/>
        <v>122.10480000000001</v>
      </c>
    </row>
    <row r="10" spans="1:27" ht="15.75" thickBot="1" x14ac:dyDescent="0.3">
      <c r="A10" s="42">
        <v>28</v>
      </c>
      <c r="B10" s="47" t="s">
        <v>34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2675.2</v>
      </c>
      <c r="R10" s="27"/>
      <c r="S10" s="26"/>
      <c r="T10" s="48">
        <v>608.66999999999996</v>
      </c>
      <c r="U10" s="28"/>
      <c r="V10" s="24">
        <f t="shared" si="0"/>
        <v>70.130000000000223</v>
      </c>
      <c r="W10" s="25">
        <f t="shared" si="4"/>
        <v>2745.33</v>
      </c>
      <c r="X10" s="40" t="s">
        <v>35</v>
      </c>
      <c r="Y10" s="49">
        <f t="shared" si="6"/>
        <v>7.013000000000023</v>
      </c>
      <c r="Z10" s="49">
        <f t="shared" si="5"/>
        <v>7.574040000000025</v>
      </c>
    </row>
    <row r="11" spans="1:27" ht="15.75" thickBot="1" x14ac:dyDescent="0.3">
      <c r="A11" s="42">
        <v>33</v>
      </c>
      <c r="B11" s="47" t="s">
        <v>36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/>
      <c r="S11" s="26"/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35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34</v>
      </c>
      <c r="B12" s="47" t="s">
        <v>37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3354.2</v>
      </c>
      <c r="R12" s="27">
        <v>375</v>
      </c>
      <c r="S12" s="26">
        <v>0</v>
      </c>
      <c r="T12" s="26"/>
      <c r="U12" s="28"/>
      <c r="V12" s="24">
        <f t="shared" si="0"/>
        <v>270.80000000000018</v>
      </c>
      <c r="W12" s="25">
        <f t="shared" si="4"/>
        <v>3625</v>
      </c>
      <c r="X12" s="40" t="s">
        <v>35</v>
      </c>
      <c r="Y12" s="49">
        <f t="shared" si="6"/>
        <v>27.08000000000002</v>
      </c>
      <c r="Z12" s="49">
        <f t="shared" si="5"/>
        <v>29.246400000000023</v>
      </c>
    </row>
    <row r="13" spans="1:27" ht="15.75" thickBot="1" x14ac:dyDescent="0.3">
      <c r="A13" s="42">
        <v>35</v>
      </c>
      <c r="B13" s="47" t="s">
        <v>38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3459.2</v>
      </c>
      <c r="R13" s="27"/>
      <c r="S13" s="26">
        <v>0</v>
      </c>
      <c r="T13" s="26"/>
      <c r="U13" s="28"/>
      <c r="V13" s="24">
        <f t="shared" si="0"/>
        <v>540.80000000000018</v>
      </c>
      <c r="W13" s="25">
        <f t="shared" si="4"/>
        <v>4000</v>
      </c>
      <c r="X13" s="40" t="s">
        <v>35</v>
      </c>
      <c r="Y13" s="49">
        <f t="shared" si="6"/>
        <v>54.08000000000002</v>
      </c>
      <c r="Z13" s="49">
        <f t="shared" si="5"/>
        <v>58.406400000000026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SUM(E4:E6)</f>
        <v>7557.8399999999992</v>
      </c>
      <c r="F14" s="20">
        <f t="shared" si="7"/>
        <v>1259.6399999999999</v>
      </c>
      <c r="G14" s="20">
        <f t="shared" si="7"/>
        <v>750</v>
      </c>
      <c r="H14" s="20">
        <f t="shared" si="7"/>
        <v>881.74800000000005</v>
      </c>
      <c r="I14" s="20">
        <f t="shared" si="7"/>
        <v>881.74800000000005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SUM(M4:M6)</f>
        <v>0</v>
      </c>
      <c r="N14" s="20">
        <f>SUM(N4:N6)</f>
        <v>0</v>
      </c>
      <c r="O14" s="20">
        <f>SUM(O4:O6)</f>
        <v>399.93</v>
      </c>
      <c r="P14" s="20">
        <f>SUM(P4:P6)</f>
        <v>0.06</v>
      </c>
      <c r="Q14" s="20">
        <f>SUM(Q4:Q13)</f>
        <v>32640.200000000004</v>
      </c>
      <c r="R14" s="20">
        <f t="shared" ref="R14:W14" si="8">SUM(R4:R13)</f>
        <v>975</v>
      </c>
      <c r="S14" s="20">
        <f t="shared" si="8"/>
        <v>140</v>
      </c>
      <c r="T14" s="20">
        <f t="shared" si="8"/>
        <v>1108.67</v>
      </c>
      <c r="U14" s="20">
        <f>SUM(U4:U13)</f>
        <v>1300</v>
      </c>
      <c r="V14" s="20">
        <f>SUM(V4:V13)</f>
        <v>5644.5300000000007</v>
      </c>
      <c r="W14" s="20">
        <f t="shared" si="8"/>
        <v>38284.730000000003</v>
      </c>
      <c r="Y14" s="20">
        <f>SUM(Y4:Y13)</f>
        <v>564.4530000000002</v>
      </c>
      <c r="Z14" s="20">
        <f>SUM(Z4:Z13)</f>
        <v>609.60924000000023</v>
      </c>
      <c r="AA14" s="10">
        <f>SUM(Z14+W14)</f>
        <v>38894.339240000001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89F64-3B17-47F2-9F20-0AA7057BC31F}">
  <sheetPr>
    <pageSetUpPr fitToPage="1"/>
  </sheetPr>
  <dimension ref="A1:AA18"/>
  <sheetViews>
    <sheetView showGridLines="0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3577.8</v>
      </c>
      <c r="R4" s="23"/>
      <c r="S4" s="23"/>
      <c r="T4" s="23"/>
      <c r="U4" s="28">
        <v>2030</v>
      </c>
      <c r="V4" s="24">
        <f t="shared" ref="V4:V13" si="0">C4-Q4-S4+U4-R4-T4</f>
        <v>1952.1999999999998</v>
      </c>
      <c r="W4" s="25">
        <f>Q4+V4</f>
        <v>5530</v>
      </c>
      <c r="X4" s="40" t="s">
        <v>26</v>
      </c>
      <c r="Y4" s="49">
        <f>+V4*0.1</f>
        <v>195.22</v>
      </c>
      <c r="Z4" s="49">
        <f>+Y4*1.08</f>
        <v>210.83760000000001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v>700</v>
      </c>
      <c r="U5" s="28"/>
      <c r="V5" s="24">
        <f t="shared" si="0"/>
        <v>945.80000000000018</v>
      </c>
      <c r="W5" s="25">
        <f t="shared" ref="W5:W13" si="4">Q5+V5</f>
        <v>4300</v>
      </c>
      <c r="X5" s="40">
        <v>2</v>
      </c>
      <c r="Y5" s="49">
        <f>+V5*0.1</f>
        <v>94.580000000000027</v>
      </c>
      <c r="Z5" s="49">
        <f t="shared" ref="Z5:Z13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3205</v>
      </c>
      <c r="R6" s="27">
        <v>225</v>
      </c>
      <c r="S6" s="26">
        <v>70</v>
      </c>
      <c r="T6" s="26"/>
      <c r="U6" s="28"/>
      <c r="V6" s="81">
        <f t="shared" si="0"/>
        <v>0</v>
      </c>
      <c r="W6" s="25">
        <f t="shared" si="4"/>
        <v>3205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 t="shared" si="0"/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175</v>
      </c>
      <c r="T8" s="23">
        <v>474.5</v>
      </c>
      <c r="U8" s="28"/>
      <c r="V8" s="24">
        <f t="shared" si="0"/>
        <v>621.09999999999991</v>
      </c>
      <c r="W8" s="25">
        <f t="shared" si="4"/>
        <v>3975.5</v>
      </c>
      <c r="X8" s="40" t="s">
        <v>26</v>
      </c>
      <c r="Y8" s="49">
        <f t="shared" si="6"/>
        <v>62.109999999999992</v>
      </c>
      <c r="Z8" s="49">
        <f t="shared" si="5"/>
        <v>67.078800000000001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</v>
      </c>
      <c r="R9" s="27"/>
      <c r="S9" s="26"/>
      <c r="T9" s="48">
        <v>579.21</v>
      </c>
      <c r="U9" s="28"/>
      <c r="V9" s="24">
        <f t="shared" si="0"/>
        <v>69.789999999999964</v>
      </c>
      <c r="W9" s="25">
        <f t="shared" si="4"/>
        <v>2774.79</v>
      </c>
      <c r="X9" s="40" t="s">
        <v>35</v>
      </c>
      <c r="Y9" s="49">
        <f t="shared" si="6"/>
        <v>6.9789999999999965</v>
      </c>
      <c r="Z9" s="49">
        <f t="shared" si="5"/>
        <v>7.5373199999999967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3132</v>
      </c>
      <c r="R10" s="27">
        <v>300</v>
      </c>
      <c r="S10" s="26">
        <v>105</v>
      </c>
      <c r="T10" s="48">
        <v>463</v>
      </c>
      <c r="U10" s="28"/>
      <c r="V10" s="24">
        <f>C10-Q10-S10+U10-R10-T10</f>
        <v>0</v>
      </c>
      <c r="W10" s="25">
        <f t="shared" si="4"/>
        <v>3132</v>
      </c>
      <c r="X10" s="40" t="s">
        <v>26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/>
      <c r="S11" s="26"/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74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>
        <v>0</v>
      </c>
      <c r="S13" s="26">
        <v>35</v>
      </c>
      <c r="T13" s="23">
        <v>363.75</v>
      </c>
      <c r="U13" s="28"/>
      <c r="V13" s="24">
        <f t="shared" si="0"/>
        <v>1246.8499999999999</v>
      </c>
      <c r="W13" s="25">
        <f t="shared" si="4"/>
        <v>4601.25</v>
      </c>
      <c r="X13" s="40" t="s">
        <v>26</v>
      </c>
      <c r="Y13" s="49">
        <f t="shared" si="6"/>
        <v>124.685</v>
      </c>
      <c r="Z13" s="49">
        <f t="shared" si="5"/>
        <v>134.65980000000002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32586.000000000004</v>
      </c>
      <c r="R14" s="20">
        <f t="shared" ref="R14:W14" si="8">SUM(R4:R13)</f>
        <v>900</v>
      </c>
      <c r="S14" s="20">
        <f t="shared" si="8"/>
        <v>385</v>
      </c>
      <c r="T14" s="20">
        <f t="shared" si="8"/>
        <v>2845.27</v>
      </c>
      <c r="U14" s="20">
        <f>SUM(U4:U13)</f>
        <v>2030</v>
      </c>
      <c r="V14" s="20">
        <f>SUM(V4:V13)</f>
        <v>5522.130000000001</v>
      </c>
      <c r="W14" s="20">
        <f t="shared" si="8"/>
        <v>38108.130000000005</v>
      </c>
      <c r="Y14" s="20">
        <f>SUM(Y4:Y13)</f>
        <v>552.21300000000008</v>
      </c>
      <c r="Z14" s="20">
        <f>SUM(Z4:Z13)</f>
        <v>596.39004000000011</v>
      </c>
      <c r="AA14" s="10">
        <f>SUM(Z14+W14)</f>
        <v>38704.520040000003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623AB-0840-4087-8E41-1854E7461EA2}">
  <sheetPr>
    <pageSetUpPr fitToPage="1"/>
  </sheetPr>
  <dimension ref="A1:AA18"/>
  <sheetViews>
    <sheetView showGridLines="0" topLeftCell="A3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0</v>
      </c>
      <c r="V4" s="24">
        <f t="shared" ref="V4:V13" si="0">C4-Q4-S4+U4-R4-T4</f>
        <v>145.59999999999991</v>
      </c>
      <c r="W4" s="25">
        <f>Q4+V4</f>
        <v>3500</v>
      </c>
      <c r="X4" s="40" t="s">
        <v>26</v>
      </c>
      <c r="Y4" s="49">
        <f>+V4*0.1</f>
        <v>14.559999999999992</v>
      </c>
      <c r="Z4" s="49">
        <f>+Y4*1.08</f>
        <v>15.724799999999991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v>800</v>
      </c>
      <c r="U5" s="28"/>
      <c r="V5" s="24">
        <f t="shared" si="0"/>
        <v>845.59999999999991</v>
      </c>
      <c r="W5" s="25">
        <f t="shared" ref="W5:W13" si="4">Q5+V5</f>
        <v>4200</v>
      </c>
      <c r="X5" s="40">
        <v>2</v>
      </c>
      <c r="Y5" s="49">
        <f>+V5*0.1</f>
        <v>84.56</v>
      </c>
      <c r="Z5" s="49">
        <f t="shared" ref="Z5:Z13" si="5">+Y5*1.08</f>
        <v>91.32480000000001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3275</v>
      </c>
      <c r="R6" s="27">
        <v>225</v>
      </c>
      <c r="S6" s="26">
        <v>0</v>
      </c>
      <c r="T6" s="26"/>
      <c r="U6" s="28"/>
      <c r="V6" s="81">
        <f t="shared" si="0"/>
        <v>0</v>
      </c>
      <c r="W6" s="25">
        <f t="shared" si="4"/>
        <v>3275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2795.2</v>
      </c>
      <c r="R7" s="27"/>
      <c r="S7" s="26"/>
      <c r="T7" s="48">
        <v>704.81</v>
      </c>
      <c r="U7" s="28"/>
      <c r="V7" s="99">
        <f>C7-Q7-S7+U7-R7-T7+0.01</f>
        <v>2.3646883062777846E-13</v>
      </c>
      <c r="W7" s="25">
        <f t="shared" si="4"/>
        <v>2795.2000000000003</v>
      </c>
      <c r="X7" s="40" t="s">
        <v>30</v>
      </c>
      <c r="Y7" s="49">
        <f t="shared" si="6"/>
        <v>2.3646883062777846E-14</v>
      </c>
      <c r="Z7" s="49">
        <f t="shared" si="5"/>
        <v>2.5538633707800074E-14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/>
      <c r="T8" s="23"/>
      <c r="U8" s="28"/>
      <c r="V8" s="24">
        <f t="shared" si="0"/>
        <v>1270.8000000000002</v>
      </c>
      <c r="W8" s="25">
        <f t="shared" si="4"/>
        <v>4625</v>
      </c>
      <c r="X8" s="40" t="s">
        <v>26</v>
      </c>
      <c r="Y8" s="49">
        <f t="shared" si="6"/>
        <v>127.08000000000003</v>
      </c>
      <c r="Z8" s="49">
        <f t="shared" si="5"/>
        <v>137.24640000000005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2783.2</v>
      </c>
      <c r="R9" s="27"/>
      <c r="S9" s="26"/>
      <c r="T9" s="48">
        <v>579.21</v>
      </c>
      <c r="U9" s="28">
        <v>239.57</v>
      </c>
      <c r="V9" s="24">
        <f t="shared" si="0"/>
        <v>231.16000000000008</v>
      </c>
      <c r="W9" s="25">
        <f t="shared" si="4"/>
        <v>3014.3599999999997</v>
      </c>
      <c r="X9" s="40" t="s">
        <v>35</v>
      </c>
      <c r="Y9" s="49">
        <f t="shared" si="6"/>
        <v>23.11600000000001</v>
      </c>
      <c r="Z9" s="49">
        <f t="shared" si="5"/>
        <v>24.965280000000014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3200</v>
      </c>
      <c r="R10" s="27">
        <v>375</v>
      </c>
      <c r="S10" s="26">
        <v>105</v>
      </c>
      <c r="T10" s="48">
        <v>463</v>
      </c>
      <c r="U10" s="28">
        <v>142.86000000000001</v>
      </c>
      <c r="V10" s="99">
        <f>C10-Q10-S10+U10-R10-T10+0.14</f>
        <v>1.3655743202889425E-14</v>
      </c>
      <c r="W10" s="25">
        <f t="shared" si="4"/>
        <v>3200</v>
      </c>
      <c r="X10" s="40" t="s">
        <v>26</v>
      </c>
      <c r="Y10" s="49">
        <f t="shared" si="6"/>
        <v>1.3655743202889426E-15</v>
      </c>
      <c r="Z10" s="49">
        <f t="shared" si="5"/>
        <v>1.4748202659120582E-15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74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3354.2</v>
      </c>
      <c r="R12" s="27"/>
      <c r="S12" s="26"/>
      <c r="T12" s="26"/>
      <c r="U12" s="28"/>
      <c r="V12" s="24"/>
      <c r="W12" s="25">
        <f t="shared" si="4"/>
        <v>3354.2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>
        <v>525</v>
      </c>
      <c r="S13" s="26">
        <v>70</v>
      </c>
      <c r="T13" s="23"/>
      <c r="U13" s="28"/>
      <c r="V13" s="24">
        <f t="shared" si="0"/>
        <v>1050.8000000000002</v>
      </c>
      <c r="W13" s="25">
        <f t="shared" si="4"/>
        <v>4405</v>
      </c>
      <c r="X13" s="40" t="s">
        <v>26</v>
      </c>
      <c r="Y13" s="49">
        <f t="shared" si="6"/>
        <v>105.08000000000003</v>
      </c>
      <c r="Z13" s="49">
        <f t="shared" si="5"/>
        <v>113.48640000000003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32284.200000000004</v>
      </c>
      <c r="R14" s="20">
        <f t="shared" ref="R14:W14" si="8">SUM(R4:R13)</f>
        <v>1500</v>
      </c>
      <c r="S14" s="20">
        <f t="shared" si="8"/>
        <v>175</v>
      </c>
      <c r="T14" s="20">
        <f t="shared" si="8"/>
        <v>2547.02</v>
      </c>
      <c r="U14" s="20">
        <f>SUM(U4:U13)</f>
        <v>382.43</v>
      </c>
      <c r="V14" s="20">
        <f>SUM(V4:V13)</f>
        <v>4084.56</v>
      </c>
      <c r="W14" s="20">
        <f t="shared" si="8"/>
        <v>36368.76</v>
      </c>
      <c r="Y14" s="20">
        <f>SUM(Y4:Y13)</f>
        <v>408.45600000000007</v>
      </c>
      <c r="Z14" s="20">
        <f>SUM(Z4:Z13)</f>
        <v>441.1324800000001</v>
      </c>
      <c r="AA14" s="10">
        <f>SUM(Z14+W14)</f>
        <v>36809.892480000002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C2747-3D19-4E53-8E5E-BAA387B797E3}">
  <sheetPr>
    <pageSetUpPr fitToPage="1"/>
  </sheetPr>
  <dimension ref="A1:AA18"/>
  <sheetViews>
    <sheetView showGridLines="0" topLeftCell="A3" workbookViewId="0">
      <selection activeCell="U5" sqref="U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1460</v>
      </c>
      <c r="V4" s="24">
        <f t="shared" ref="V4:V13" si="0">C4-Q4-S4+U4-R4-T4</f>
        <v>1605.6</v>
      </c>
      <c r="W4" s="25">
        <f>Q4+V4</f>
        <v>4960</v>
      </c>
      <c r="X4" s="40" t="s">
        <v>26</v>
      </c>
      <c r="Y4" s="49">
        <f>+V4*0.1</f>
        <v>160.56</v>
      </c>
      <c r="Z4" s="49">
        <f>+Y4*1.08</f>
        <v>173.40480000000002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/>
      <c r="U5" s="28">
        <v>12000</v>
      </c>
      <c r="V5" s="24">
        <f t="shared" si="0"/>
        <v>13645.6</v>
      </c>
      <c r="W5" s="25">
        <f t="shared" ref="W5:W13" si="4">Q5+V5</f>
        <v>17000</v>
      </c>
      <c r="X5" s="40">
        <v>2</v>
      </c>
      <c r="Y5" s="49">
        <f>+V5*0.1</f>
        <v>1364.5600000000002</v>
      </c>
      <c r="Z5" s="49">
        <f t="shared" ref="Z5:Z13" si="5">+Y5*1.08</f>
        <v>1473.7248000000002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3240</v>
      </c>
      <c r="R6" s="27">
        <v>225</v>
      </c>
      <c r="S6" s="26">
        <v>35</v>
      </c>
      <c r="T6" s="26"/>
      <c r="U6" s="28"/>
      <c r="V6" s="81">
        <f t="shared" si="0"/>
        <v>0</v>
      </c>
      <c r="W6" s="25">
        <f t="shared" si="4"/>
        <v>3240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3204.8</v>
      </c>
      <c r="R7" s="27"/>
      <c r="S7" s="26"/>
      <c r="T7" s="48">
        <v>264.81</v>
      </c>
      <c r="U7" s="28">
        <v>375</v>
      </c>
      <c r="V7" s="24">
        <f>C7-Q7-S7+U7-R7-T7+0.01</f>
        <v>405.39999999999981</v>
      </c>
      <c r="W7" s="25">
        <f t="shared" si="4"/>
        <v>3610.2</v>
      </c>
      <c r="X7" s="40" t="s">
        <v>30</v>
      </c>
      <c r="Y7" s="49">
        <f t="shared" si="6"/>
        <v>40.539999999999985</v>
      </c>
      <c r="Z7" s="49">
        <f t="shared" si="5"/>
        <v>43.783199999999987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175</v>
      </c>
      <c r="T8" s="23"/>
      <c r="U8" s="28"/>
      <c r="V8" s="24">
        <f t="shared" si="0"/>
        <v>1095.5999999999999</v>
      </c>
      <c r="W8" s="25">
        <f t="shared" si="4"/>
        <v>4450</v>
      </c>
      <c r="X8" s="40" t="s">
        <v>26</v>
      </c>
      <c r="Y8" s="49">
        <f t="shared" si="6"/>
        <v>109.56</v>
      </c>
      <c r="Z8" s="49">
        <f t="shared" si="5"/>
        <v>118.32480000000001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</v>
      </c>
      <c r="R9" s="27"/>
      <c r="S9" s="26"/>
      <c r="T9" s="48">
        <v>579.21</v>
      </c>
      <c r="U9" s="28"/>
      <c r="V9" s="24">
        <f t="shared" si="0"/>
        <v>69.789999999999964</v>
      </c>
      <c r="W9" s="25">
        <f t="shared" si="4"/>
        <v>2774.79</v>
      </c>
      <c r="X9" s="40" t="s">
        <v>35</v>
      </c>
      <c r="Y9" s="49">
        <f t="shared" si="6"/>
        <v>6.9789999999999965</v>
      </c>
      <c r="Z9" s="49">
        <f t="shared" si="5"/>
        <v>7.5373199999999967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3057.2</v>
      </c>
      <c r="R10" s="27">
        <v>375</v>
      </c>
      <c r="S10" s="26">
        <v>105</v>
      </c>
      <c r="T10" s="48">
        <v>463</v>
      </c>
      <c r="U10" s="28"/>
      <c r="V10" s="99">
        <f>C10-Q10-S10+U10-R10-T10+0.2</f>
        <v>1.819100425848319E-13</v>
      </c>
      <c r="W10" s="25">
        <f t="shared" si="4"/>
        <v>3057.2</v>
      </c>
      <c r="X10" s="40" t="s">
        <v>26</v>
      </c>
      <c r="Y10" s="49">
        <f t="shared" si="6"/>
        <v>1.8191004258483192E-14</v>
      </c>
      <c r="Z10" s="49">
        <f t="shared" si="5"/>
        <v>1.9646284599161848E-14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/>
      <c r="S11" s="26"/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74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>
        <v>0</v>
      </c>
      <c r="S13" s="26">
        <v>105</v>
      </c>
      <c r="T13" s="23"/>
      <c r="U13" s="28"/>
      <c r="V13" s="24">
        <f t="shared" si="0"/>
        <v>1540.6</v>
      </c>
      <c r="W13" s="25">
        <f t="shared" si="4"/>
        <v>4895</v>
      </c>
      <c r="X13" s="40" t="s">
        <v>26</v>
      </c>
      <c r="Y13" s="49">
        <f t="shared" si="6"/>
        <v>154.06</v>
      </c>
      <c r="Z13" s="49">
        <f t="shared" si="5"/>
        <v>166.38480000000001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32438.200000000004</v>
      </c>
      <c r="R14" s="20">
        <f t="shared" ref="R14:W14" si="8">SUM(R4:R13)</f>
        <v>975</v>
      </c>
      <c r="S14" s="20">
        <f t="shared" si="8"/>
        <v>420</v>
      </c>
      <c r="T14" s="20">
        <f t="shared" si="8"/>
        <v>1307.02</v>
      </c>
      <c r="U14" s="20">
        <f>SUM(U4:U13)</f>
        <v>13835</v>
      </c>
      <c r="V14" s="20">
        <f>SUM(V4:V13)</f>
        <v>18903.39</v>
      </c>
      <c r="W14" s="20">
        <f t="shared" si="8"/>
        <v>51341.59</v>
      </c>
      <c r="Y14" s="20">
        <f>SUM(Y4:Y13)</f>
        <v>1890.3389999999999</v>
      </c>
      <c r="Z14" s="20">
        <f>SUM(Z4:Z13)</f>
        <v>2041.5661200000004</v>
      </c>
      <c r="AA14" s="10">
        <f>SUM(Z14+W14)</f>
        <v>53383.15612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EBC32-D3E4-4481-888E-067B6E59E92B}">
  <sheetPr>
    <pageSetUpPr fitToPage="1"/>
  </sheetPr>
  <dimension ref="A1:AA18"/>
  <sheetViews>
    <sheetView showGridLines="0" workbookViewId="0">
      <selection activeCell="T5" sqref="T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1360</v>
      </c>
      <c r="V4" s="24">
        <f t="shared" ref="V4:V13" si="0">C4-Q4-S4+U4-R4-T4</f>
        <v>1505.8000000000002</v>
      </c>
      <c r="W4" s="25">
        <f>Q4+V4</f>
        <v>4860</v>
      </c>
      <c r="X4" s="40" t="s">
        <v>26</v>
      </c>
      <c r="Y4" s="49">
        <f>+V4*0.1</f>
        <v>150.58000000000001</v>
      </c>
      <c r="Z4" s="49">
        <f>+Y4*1.08</f>
        <v>162.62640000000002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3432</v>
      </c>
      <c r="R5" s="27"/>
      <c r="S5" s="26"/>
      <c r="T5" s="48">
        <v>700</v>
      </c>
      <c r="U5" s="28">
        <v>357.14</v>
      </c>
      <c r="V5" s="24">
        <f t="shared" si="0"/>
        <v>1225.1399999999999</v>
      </c>
      <c r="W5" s="25">
        <f t="shared" ref="W5:W13" si="4">Q5+V5</f>
        <v>4657.1399999999994</v>
      </c>
      <c r="X5" s="40">
        <v>2</v>
      </c>
      <c r="Y5" s="49">
        <f>+V5*0.1</f>
        <v>122.514</v>
      </c>
      <c r="Z5" s="49">
        <f t="shared" ref="Z5:Z13" si="5">+Y5*1.08</f>
        <v>132.31512000000001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3125</v>
      </c>
      <c r="R6" s="27">
        <v>375</v>
      </c>
      <c r="S6" s="26">
        <v>0</v>
      </c>
      <c r="T6" s="26"/>
      <c r="U6" s="28"/>
      <c r="V6" s="81">
        <f t="shared" si="0"/>
        <v>0</v>
      </c>
      <c r="W6" s="25">
        <f t="shared" si="4"/>
        <v>3125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0</v>
      </c>
      <c r="T8" s="23"/>
      <c r="U8" s="28"/>
      <c r="V8" s="24">
        <f t="shared" si="0"/>
        <v>1270.8000000000002</v>
      </c>
      <c r="W8" s="25">
        <f t="shared" si="4"/>
        <v>4625</v>
      </c>
      <c r="X8" s="40" t="s">
        <v>26</v>
      </c>
      <c r="Y8" s="49">
        <f t="shared" si="6"/>
        <v>127.08000000000003</v>
      </c>
      <c r="Z8" s="49">
        <f t="shared" si="5"/>
        <v>137.24640000000005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</v>
      </c>
      <c r="R9" s="27"/>
      <c r="S9" s="26">
        <v>0</v>
      </c>
      <c r="T9" s="48">
        <v>579.21</v>
      </c>
      <c r="U9" s="28"/>
      <c r="V9" s="24">
        <f t="shared" si="0"/>
        <v>69.789999999999964</v>
      </c>
      <c r="W9" s="25">
        <f t="shared" si="4"/>
        <v>2774.79</v>
      </c>
      <c r="X9" s="40" t="s">
        <v>35</v>
      </c>
      <c r="Y9" s="49">
        <f t="shared" si="6"/>
        <v>6.9789999999999965</v>
      </c>
      <c r="Z9" s="49">
        <f t="shared" si="5"/>
        <v>7.5373199999999967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3092</v>
      </c>
      <c r="R10" s="27">
        <v>375</v>
      </c>
      <c r="S10" s="26">
        <v>70</v>
      </c>
      <c r="T10" s="48">
        <v>463</v>
      </c>
      <c r="U10" s="28"/>
      <c r="V10" s="100">
        <f>C10-Q10-S10+U10-R10-T10</f>
        <v>0</v>
      </c>
      <c r="W10" s="25">
        <f t="shared" si="4"/>
        <v>3092</v>
      </c>
      <c r="X10" s="40" t="s">
        <v>26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74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>
        <v>300</v>
      </c>
      <c r="S13" s="26">
        <v>35</v>
      </c>
      <c r="T13" s="23"/>
      <c r="U13" s="28"/>
      <c r="V13" s="24">
        <f t="shared" si="0"/>
        <v>1310.8000000000002</v>
      </c>
      <c r="W13" s="25">
        <f t="shared" si="4"/>
        <v>4665</v>
      </c>
      <c r="X13" s="40" t="s">
        <v>26</v>
      </c>
      <c r="Y13" s="49">
        <f t="shared" si="6"/>
        <v>131.08000000000001</v>
      </c>
      <c r="Z13" s="49">
        <f t="shared" si="5"/>
        <v>141.56640000000002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32320.000000000004</v>
      </c>
      <c r="R14" s="20">
        <f t="shared" ref="R14:W14" si="8">SUM(R4:R13)</f>
        <v>1425</v>
      </c>
      <c r="S14" s="20">
        <f t="shared" si="8"/>
        <v>105</v>
      </c>
      <c r="T14" s="20">
        <f t="shared" si="8"/>
        <v>2007.02</v>
      </c>
      <c r="U14" s="20">
        <f>SUM(U4:U13)</f>
        <v>1717.1399999999999</v>
      </c>
      <c r="V14" s="20">
        <f>SUM(V4:V13)</f>
        <v>6068.5199999999995</v>
      </c>
      <c r="W14" s="20">
        <f t="shared" si="8"/>
        <v>38388.520000000004</v>
      </c>
      <c r="Y14" s="20">
        <f>SUM(Y4:Y13)</f>
        <v>606.85200000000009</v>
      </c>
      <c r="Z14" s="20">
        <f>SUM(Z4:Z13)</f>
        <v>655.40016000000014</v>
      </c>
      <c r="AA14" s="10">
        <f>SUM(Z14+W14)</f>
        <v>39043.920160000001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C84C2-2236-42CE-873F-C59AD4EB68A9}">
  <sheetPr>
    <pageSetUpPr fitToPage="1"/>
  </sheetPr>
  <dimension ref="A1:AA18"/>
  <sheetViews>
    <sheetView showGridLines="0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>
        <v>0</v>
      </c>
      <c r="S4" s="23">
        <v>0</v>
      </c>
      <c r="T4" s="23"/>
      <c r="U4" s="28">
        <v>1470</v>
      </c>
      <c r="V4" s="24">
        <f t="shared" ref="V4:V12" si="0">C4-Q4-S4+U4-R4-T4</f>
        <v>1615.6</v>
      </c>
      <c r="W4" s="25">
        <f>Q4+V4</f>
        <v>4970</v>
      </c>
      <c r="X4" s="40" t="s">
        <v>26</v>
      </c>
      <c r="Y4" s="49">
        <f>+V4*0.1</f>
        <v>161.56</v>
      </c>
      <c r="Z4" s="49">
        <f>+Y4*1.08</f>
        <v>174.48480000000001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2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2" si="3">+E5+D5</f>
        <v>2939.16</v>
      </c>
      <c r="M5" s="29"/>
      <c r="N5" s="12"/>
      <c r="O5" s="11"/>
      <c r="P5" s="9"/>
      <c r="Q5" s="19">
        <v>3354.4</v>
      </c>
      <c r="R5" s="27">
        <v>0</v>
      </c>
      <c r="S5" s="26">
        <v>0</v>
      </c>
      <c r="T5" s="48">
        <v>700</v>
      </c>
      <c r="U5" s="28"/>
      <c r="V5" s="24">
        <f t="shared" si="0"/>
        <v>945.59999999999991</v>
      </c>
      <c r="W5" s="25">
        <f t="shared" ref="W5:W12" si="4">Q5+V5</f>
        <v>4300</v>
      </c>
      <c r="X5" s="40">
        <v>2</v>
      </c>
      <c r="Y5" s="49">
        <f>+V5*0.1</f>
        <v>94.56</v>
      </c>
      <c r="Z5" s="49">
        <f t="shared" ref="Z5:Z12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3205</v>
      </c>
      <c r="R6" s="27">
        <v>225</v>
      </c>
      <c r="S6" s="26">
        <v>70</v>
      </c>
      <c r="T6" s="26"/>
      <c r="U6" s="28"/>
      <c r="V6" s="81">
        <f t="shared" si="0"/>
        <v>0</v>
      </c>
      <c r="W6" s="25">
        <f t="shared" si="4"/>
        <v>3205</v>
      </c>
      <c r="X6" s="40" t="s">
        <v>26</v>
      </c>
      <c r="Y6" s="49">
        <f t="shared" ref="Y6:Y12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>
        <v>0</v>
      </c>
      <c r="S7" s="26">
        <v>0</v>
      </c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3"/>
      <c r="U8" s="28"/>
      <c r="V8" s="24">
        <f t="shared" si="0"/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2705.2</v>
      </c>
      <c r="R9" s="27">
        <v>0</v>
      </c>
      <c r="S9" s="26">
        <v>0</v>
      </c>
      <c r="T9" s="48">
        <v>579.21</v>
      </c>
      <c r="U9" s="28"/>
      <c r="V9" s="24">
        <f t="shared" si="0"/>
        <v>69.590000000000146</v>
      </c>
      <c r="W9" s="25">
        <f t="shared" si="4"/>
        <v>2774.79</v>
      </c>
      <c r="X9" s="40" t="s">
        <v>35</v>
      </c>
      <c r="Y9" s="49">
        <f t="shared" si="6"/>
        <v>6.9590000000000147</v>
      </c>
      <c r="Z9" s="49">
        <f t="shared" si="5"/>
        <v>7.5157200000000168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3095.8</v>
      </c>
      <c r="R10" s="27">
        <v>375</v>
      </c>
      <c r="S10" s="26">
        <v>70</v>
      </c>
      <c r="T10" s="48">
        <v>463</v>
      </c>
      <c r="U10" s="28"/>
      <c r="V10" s="100">
        <f>C10-Q10-S10+U10-R10-T10</f>
        <v>-3.8000000000001819</v>
      </c>
      <c r="W10" s="25">
        <f t="shared" si="4"/>
        <v>3092</v>
      </c>
      <c r="X10" s="40" t="s">
        <v>26</v>
      </c>
      <c r="Y10" s="49">
        <f t="shared" si="6"/>
        <v>-0.38000000000001821</v>
      </c>
      <c r="Z10" s="49">
        <f t="shared" si="5"/>
        <v>-0.41040000000001969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>
        <v>0</v>
      </c>
      <c r="S11" s="26">
        <v>0</v>
      </c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74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</v>
      </c>
      <c r="R12" s="27">
        <v>0</v>
      </c>
      <c r="S12" s="26">
        <v>0</v>
      </c>
      <c r="T12" s="26"/>
      <c r="U12" s="28"/>
      <c r="V12" s="24">
        <f t="shared" si="0"/>
        <v>0</v>
      </c>
      <c r="W12" s="25">
        <f t="shared" si="4"/>
        <v>3354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ref="E13" si="7">D13*6</f>
        <v>2519.2799999999997</v>
      </c>
      <c r="F13" s="21"/>
      <c r="G13" s="22"/>
      <c r="H13" s="22"/>
      <c r="I13" s="22"/>
      <c r="J13" s="22"/>
      <c r="K13" s="22"/>
      <c r="L13" s="34">
        <f t="shared" ref="L13" si="8">+E13+D13</f>
        <v>2939.16</v>
      </c>
      <c r="M13" s="30"/>
      <c r="N13" s="15"/>
      <c r="O13" s="14"/>
      <c r="P13" s="14"/>
      <c r="Q13" s="19">
        <v>3354.4</v>
      </c>
      <c r="R13" s="27">
        <v>300</v>
      </c>
      <c r="S13" s="26">
        <v>105</v>
      </c>
      <c r="T13" s="23"/>
      <c r="U13" s="28"/>
      <c r="V13" s="24">
        <f t="shared" ref="V13" si="9">C13-Q13-S13+U13-R13-T13</f>
        <v>1240.5999999999999</v>
      </c>
      <c r="W13" s="25">
        <f t="shared" ref="W13" si="10">Q13+V13</f>
        <v>4595</v>
      </c>
      <c r="X13" s="40" t="s">
        <v>26</v>
      </c>
      <c r="Y13" s="49">
        <f t="shared" ref="Y13" si="11">+V13*0.1</f>
        <v>124.06</v>
      </c>
      <c r="Z13" s="49">
        <f t="shared" ref="Z13" si="12">+Y13*1.08</f>
        <v>133.98480000000001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13">SUM(E4:E5)</f>
        <v>5038.5599999999995</v>
      </c>
      <c r="F14" s="20">
        <f t="shared" si="13"/>
        <v>839.76</v>
      </c>
      <c r="G14" s="20">
        <f t="shared" si="13"/>
        <v>500</v>
      </c>
      <c r="H14" s="20">
        <f t="shared" si="13"/>
        <v>587.83199999999999</v>
      </c>
      <c r="I14" s="20">
        <f t="shared" si="13"/>
        <v>587.83199999999999</v>
      </c>
      <c r="J14" s="20">
        <f t="shared" si="13"/>
        <v>312.41000000000003</v>
      </c>
      <c r="K14" s="20">
        <f t="shared" si="13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 t="shared" ref="Q14:W14" si="14">SUM(Q4:Q13)</f>
        <v>32326.2</v>
      </c>
      <c r="R14" s="20">
        <f t="shared" si="14"/>
        <v>1275</v>
      </c>
      <c r="S14" s="20">
        <f t="shared" si="14"/>
        <v>385</v>
      </c>
      <c r="T14" s="20">
        <f t="shared" si="14"/>
        <v>2007.02</v>
      </c>
      <c r="U14" s="20">
        <f t="shared" si="14"/>
        <v>1470</v>
      </c>
      <c r="V14" s="20">
        <f t="shared" si="14"/>
        <v>5684.7800000000007</v>
      </c>
      <c r="W14" s="20">
        <f t="shared" si="14"/>
        <v>38010.980000000003</v>
      </c>
      <c r="Y14" s="20">
        <f>SUM(Y4:Y13)</f>
        <v>568.47800000000007</v>
      </c>
      <c r="Z14" s="20">
        <f>SUM(Z4:Z13)</f>
        <v>613.95623999999998</v>
      </c>
      <c r="AA14" s="10">
        <f>SUM(Z14+W14)</f>
        <v>38624.936240000003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4B38A-C496-4596-B4EB-655240AE7C27}">
  <sheetPr>
    <pageSetUpPr fitToPage="1"/>
  </sheetPr>
  <dimension ref="A1:AA18"/>
  <sheetViews>
    <sheetView showGridLines="0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>
        <v>0</v>
      </c>
      <c r="S4" s="23">
        <v>0</v>
      </c>
      <c r="T4" s="23"/>
      <c r="U4" s="28">
        <v>1460</v>
      </c>
      <c r="V4" s="24">
        <f t="shared" ref="V4:V13" si="0">C4-Q4-S4+U4-R4-T4</f>
        <v>1605.8000000000002</v>
      </c>
      <c r="W4" s="25">
        <f>Q4+V4</f>
        <v>4960</v>
      </c>
      <c r="X4" s="40" t="s">
        <v>26</v>
      </c>
      <c r="Y4" s="49">
        <f>+V4*0.1</f>
        <v>160.58000000000004</v>
      </c>
      <c r="Z4" s="49">
        <f>+Y4*1.08</f>
        <v>173.42640000000006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3238.8</v>
      </c>
      <c r="R5" s="27">
        <v>0</v>
      </c>
      <c r="S5" s="26">
        <v>0</v>
      </c>
      <c r="T5" s="48">
        <f>700+314.29</f>
        <v>1014.29</v>
      </c>
      <c r="U5" s="28"/>
      <c r="V5" s="24">
        <f t="shared" si="0"/>
        <v>746.90999999999985</v>
      </c>
      <c r="W5" s="25">
        <f t="shared" ref="W5:W13" si="4">Q5+V5</f>
        <v>3985.71</v>
      </c>
      <c r="X5" s="40">
        <v>2</v>
      </c>
      <c r="Y5" s="49">
        <f>+V5*0.1</f>
        <v>74.690999999999988</v>
      </c>
      <c r="Z5" s="49">
        <f t="shared" ref="Z5:Z13" si="5">+Y5*1.08</f>
        <v>80.666279999999986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3240.2</v>
      </c>
      <c r="R6" s="27">
        <v>225</v>
      </c>
      <c r="S6" s="26">
        <v>35</v>
      </c>
      <c r="T6" s="26"/>
      <c r="U6" s="28"/>
      <c r="V6" s="81">
        <f>C6-Q6-S6+U6-R6-T6+0.2</f>
        <v>1.819100425848319E-13</v>
      </c>
      <c r="W6" s="25">
        <f t="shared" si="4"/>
        <v>3240.2</v>
      </c>
      <c r="X6" s="40" t="s">
        <v>26</v>
      </c>
      <c r="Y6" s="49">
        <f t="shared" ref="Y6:Y13" si="6">+V6*0.1</f>
        <v>1.8191004258483192E-14</v>
      </c>
      <c r="Z6" s="49">
        <f t="shared" si="5"/>
        <v>1.9646284599161848E-14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>
        <v>0</v>
      </c>
      <c r="S7" s="26">
        <v>0</v>
      </c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35</v>
      </c>
      <c r="T8" s="23"/>
      <c r="U8" s="28"/>
      <c r="V8" s="24">
        <f t="shared" si="0"/>
        <v>1235.8000000000002</v>
      </c>
      <c r="W8" s="25">
        <f t="shared" si="4"/>
        <v>4590</v>
      </c>
      <c r="X8" s="40" t="s">
        <v>26</v>
      </c>
      <c r="Y8" s="49">
        <f t="shared" si="6"/>
        <v>123.58000000000003</v>
      </c>
      <c r="Z8" s="49">
        <f t="shared" si="5"/>
        <v>133.46640000000005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2705</v>
      </c>
      <c r="R9" s="27">
        <v>0</v>
      </c>
      <c r="S9" s="26">
        <v>0</v>
      </c>
      <c r="T9" s="48">
        <v>579.21</v>
      </c>
      <c r="U9" s="28"/>
      <c r="V9" s="24">
        <f t="shared" si="0"/>
        <v>69.789999999999964</v>
      </c>
      <c r="W9" s="25">
        <f t="shared" si="4"/>
        <v>2774.79</v>
      </c>
      <c r="X9" s="40" t="s">
        <v>35</v>
      </c>
      <c r="Y9" s="49">
        <f t="shared" si="6"/>
        <v>6.9789999999999965</v>
      </c>
      <c r="Z9" s="49">
        <f t="shared" si="5"/>
        <v>7.5373199999999967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2388.6</v>
      </c>
      <c r="R10" s="27">
        <v>375</v>
      </c>
      <c r="S10" s="26">
        <v>105</v>
      </c>
      <c r="T10" s="48">
        <f>463+668.57</f>
        <v>1131.5700000000002</v>
      </c>
      <c r="U10" s="28"/>
      <c r="V10" s="100">
        <f>C10-Q10-S10+U10-R10-T10+0.17</f>
        <v>-7.2747363688563382E-14</v>
      </c>
      <c r="W10" s="25">
        <f t="shared" si="4"/>
        <v>2388.6</v>
      </c>
      <c r="X10" s="40" t="s">
        <v>26</v>
      </c>
      <c r="Y10" s="49">
        <f t="shared" si="6"/>
        <v>-7.2747363688563389E-15</v>
      </c>
      <c r="Z10" s="49">
        <f t="shared" si="5"/>
        <v>-7.8567152783648464E-15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>
        <v>0</v>
      </c>
      <c r="S11" s="26">
        <v>0</v>
      </c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74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>
        <v>0</v>
      </c>
      <c r="S12" s="26">
        <v>0</v>
      </c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>
        <v>0</v>
      </c>
      <c r="S13" s="26">
        <v>140</v>
      </c>
      <c r="T13" s="23"/>
      <c r="U13" s="28"/>
      <c r="V13" s="24">
        <f t="shared" si="0"/>
        <v>1505.6</v>
      </c>
      <c r="W13" s="25">
        <f t="shared" si="4"/>
        <v>4860</v>
      </c>
      <c r="X13" s="40" t="s">
        <v>26</v>
      </c>
      <c r="Y13" s="49">
        <f t="shared" si="6"/>
        <v>150.56</v>
      </c>
      <c r="Z13" s="49">
        <f t="shared" si="5"/>
        <v>162.60480000000001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 t="shared" ref="Q14:W14" si="8">SUM(Q4:Q13)</f>
        <v>31538.600000000002</v>
      </c>
      <c r="R14" s="20">
        <f t="shared" si="8"/>
        <v>975</v>
      </c>
      <c r="S14" s="20">
        <f t="shared" si="8"/>
        <v>315</v>
      </c>
      <c r="T14" s="20">
        <f t="shared" si="8"/>
        <v>2989.88</v>
      </c>
      <c r="U14" s="20">
        <f t="shared" si="8"/>
        <v>1460</v>
      </c>
      <c r="V14" s="20">
        <f t="shared" si="8"/>
        <v>5850.2900000000009</v>
      </c>
      <c r="W14" s="20">
        <f t="shared" si="8"/>
        <v>37388.89</v>
      </c>
      <c r="Y14" s="20">
        <f>SUM(Y4:Y13)</f>
        <v>585.02900000000011</v>
      </c>
      <c r="Z14" s="20">
        <f>SUM(Z4:Z13)</f>
        <v>631.83132000000012</v>
      </c>
      <c r="AA14" s="10">
        <f>SUM(Z14+W14)</f>
        <v>38020.721319999997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19458-8F2C-4354-BD1E-9E0A1CB212B2}">
  <sheetPr>
    <pageSetUpPr fitToPage="1"/>
  </sheetPr>
  <dimension ref="A1:AA18"/>
  <sheetViews>
    <sheetView showGridLines="0" zoomScaleNormal="100" workbookViewId="0">
      <selection activeCell="T10" sqref="T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3102</v>
      </c>
      <c r="R4" s="23">
        <v>0</v>
      </c>
      <c r="S4" s="23">
        <v>0</v>
      </c>
      <c r="T4" s="23"/>
      <c r="U4" s="28">
        <v>1680</v>
      </c>
      <c r="V4" s="24">
        <f t="shared" ref="V4:V13" si="0">C4-Q4-S4+U4-R4-T4</f>
        <v>2078</v>
      </c>
      <c r="W4" s="25">
        <f>Q4+V4</f>
        <v>5180</v>
      </c>
      <c r="X4" s="40" t="s">
        <v>26</v>
      </c>
      <c r="Y4" s="49">
        <f>+V4*0.1</f>
        <v>207.8</v>
      </c>
      <c r="Z4" s="49">
        <f>+Y4*1.08</f>
        <v>224.42400000000004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3101.8</v>
      </c>
      <c r="R5" s="27">
        <v>0</v>
      </c>
      <c r="S5" s="26">
        <v>0</v>
      </c>
      <c r="T5" s="48">
        <f>700</f>
        <v>700</v>
      </c>
      <c r="U5" s="28"/>
      <c r="V5" s="24">
        <f t="shared" si="0"/>
        <v>1198.1999999999998</v>
      </c>
      <c r="W5" s="25">
        <f t="shared" ref="W5:W13" si="4">Q5+V5</f>
        <v>4300</v>
      </c>
      <c r="X5" s="40">
        <v>2</v>
      </c>
      <c r="Y5" s="49">
        <f>+V5*0.1</f>
        <v>119.82</v>
      </c>
      <c r="Z5" s="49">
        <f t="shared" ref="Z5:Z13" si="5">+Y5*1.08</f>
        <v>129.40559999999999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3055</v>
      </c>
      <c r="R6" s="27">
        <v>375</v>
      </c>
      <c r="S6" s="26">
        <v>70</v>
      </c>
      <c r="T6" s="26"/>
      <c r="U6" s="28"/>
      <c r="V6" s="81">
        <f>C6-Q6-S6+U6-R6-T6</f>
        <v>0</v>
      </c>
      <c r="W6" s="25">
        <f t="shared" si="4"/>
        <v>3055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2838.4</v>
      </c>
      <c r="R7" s="27"/>
      <c r="S7" s="26"/>
      <c r="T7" s="48">
        <v>264.81</v>
      </c>
      <c r="U7" s="28"/>
      <c r="V7" s="24">
        <f>C7-Q7-S7+U7-R7-T7</f>
        <v>396.78999999999991</v>
      </c>
      <c r="W7" s="25">
        <f t="shared" si="4"/>
        <v>3235.19</v>
      </c>
      <c r="X7" s="40" t="s">
        <v>30</v>
      </c>
      <c r="Y7" s="49">
        <f t="shared" si="6"/>
        <v>39.678999999999995</v>
      </c>
      <c r="Z7" s="49">
        <f t="shared" si="5"/>
        <v>42.853319999999997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3102</v>
      </c>
      <c r="R8" s="27">
        <v>375</v>
      </c>
      <c r="S8" s="26">
        <v>140</v>
      </c>
      <c r="T8" s="23"/>
      <c r="U8" s="28"/>
      <c r="V8" s="24">
        <f t="shared" si="0"/>
        <v>1383</v>
      </c>
      <c r="W8" s="25">
        <f t="shared" si="4"/>
        <v>4485</v>
      </c>
      <c r="X8" s="40" t="s">
        <v>26</v>
      </c>
      <c r="Y8" s="49">
        <f t="shared" si="6"/>
        <v>138.30000000000001</v>
      </c>
      <c r="Z8" s="49">
        <f t="shared" si="5"/>
        <v>149.36400000000003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2452.6</v>
      </c>
      <c r="R9" s="27"/>
      <c r="S9" s="26"/>
      <c r="T9" s="48">
        <v>579.21</v>
      </c>
      <c r="U9" s="28"/>
      <c r="V9" s="24">
        <f t="shared" si="0"/>
        <v>322.19000000000005</v>
      </c>
      <c r="W9" s="25">
        <f t="shared" si="4"/>
        <v>2774.79</v>
      </c>
      <c r="X9" s="40" t="s">
        <v>35</v>
      </c>
      <c r="Y9" s="49">
        <f t="shared" si="6"/>
        <v>32.219000000000008</v>
      </c>
      <c r="Z9" s="49">
        <f t="shared" si="5"/>
        <v>34.796520000000008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2952.2</v>
      </c>
      <c r="R10" s="27">
        <v>375</v>
      </c>
      <c r="S10" s="26">
        <v>105</v>
      </c>
      <c r="T10" s="48">
        <f>463</f>
        <v>463</v>
      </c>
      <c r="U10" s="28"/>
      <c r="V10" s="100">
        <f>C10-Q10-S10+U10-R10-T10</f>
        <v>104.80000000000018</v>
      </c>
      <c r="W10" s="25">
        <f t="shared" si="4"/>
        <v>3057</v>
      </c>
      <c r="X10" s="40" t="s">
        <v>26</v>
      </c>
      <c r="Y10" s="49">
        <f t="shared" si="6"/>
        <v>10.480000000000018</v>
      </c>
      <c r="Z10" s="49">
        <f t="shared" si="5"/>
        <v>11.31840000000002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3207</v>
      </c>
      <c r="R11" s="27"/>
      <c r="S11" s="26"/>
      <c r="T11" s="26"/>
      <c r="U11" s="28"/>
      <c r="V11" s="24">
        <f t="shared" si="0"/>
        <v>793</v>
      </c>
      <c r="W11" s="25">
        <f t="shared" si="4"/>
        <v>4000</v>
      </c>
      <c r="X11" s="40" t="s">
        <v>74</v>
      </c>
      <c r="Y11" s="49">
        <f t="shared" si="6"/>
        <v>79.300000000000011</v>
      </c>
      <c r="Z11" s="49">
        <f t="shared" si="5"/>
        <v>85.64400000000002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3101.8</v>
      </c>
      <c r="R12" s="27"/>
      <c r="S12" s="26"/>
      <c r="T12" s="26"/>
      <c r="U12" s="28"/>
      <c r="V12" s="24"/>
      <c r="W12" s="25">
        <f t="shared" si="4"/>
        <v>3101.8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3101.8</v>
      </c>
      <c r="R13" s="27">
        <v>0</v>
      </c>
      <c r="S13" s="26">
        <v>105</v>
      </c>
      <c r="T13" s="23"/>
      <c r="U13" s="28"/>
      <c r="V13" s="24">
        <f t="shared" si="0"/>
        <v>1793.1999999999998</v>
      </c>
      <c r="W13" s="25">
        <f t="shared" si="4"/>
        <v>4895</v>
      </c>
      <c r="X13" s="40" t="s">
        <v>26</v>
      </c>
      <c r="Y13" s="49">
        <f t="shared" si="6"/>
        <v>179.32</v>
      </c>
      <c r="Z13" s="49">
        <f t="shared" si="5"/>
        <v>193.66560000000001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 t="shared" ref="Q14:W14" si="8">SUM(Q4:Q13)</f>
        <v>30014.6</v>
      </c>
      <c r="R14" s="20">
        <f t="shared" si="8"/>
        <v>1125</v>
      </c>
      <c r="S14" s="20">
        <f t="shared" si="8"/>
        <v>420</v>
      </c>
      <c r="T14" s="20">
        <f t="shared" si="8"/>
        <v>2007.02</v>
      </c>
      <c r="U14" s="20">
        <f t="shared" si="8"/>
        <v>1680</v>
      </c>
      <c r="V14" s="20">
        <f t="shared" si="8"/>
        <v>8069.18</v>
      </c>
      <c r="W14" s="20">
        <f t="shared" si="8"/>
        <v>38083.780000000006</v>
      </c>
      <c r="Y14" s="20">
        <f>SUM(Y4:Y13)</f>
        <v>806.91799999999989</v>
      </c>
      <c r="Z14" s="20">
        <f>SUM(Z4:Z13)</f>
        <v>871.47144000000003</v>
      </c>
      <c r="AA14" s="10">
        <f>SUM(Z14+W14)</f>
        <v>38955.251440000007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1F1A7-1A26-4FB3-A9DF-5EFBE9B5E73B}">
  <sheetPr>
    <pageSetUpPr fitToPage="1"/>
  </sheetPr>
  <dimension ref="A1:AA19"/>
  <sheetViews>
    <sheetView showGridLines="0" topLeftCell="C1" zoomScaleNormal="100" workbookViewId="0">
      <selection activeCell="T4" sqref="T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23">
        <v>580.09</v>
      </c>
      <c r="U4" s="28">
        <v>1170</v>
      </c>
      <c r="V4" s="24">
        <f t="shared" ref="V4:V14" si="0">C4-Q4-S4+U4-R4-T4</f>
        <v>1315.71</v>
      </c>
      <c r="W4" s="25">
        <f>Q4+V4</f>
        <v>4089.91</v>
      </c>
      <c r="X4" s="40" t="s">
        <v>26</v>
      </c>
      <c r="Y4" s="49">
        <f>+V4*0.1</f>
        <v>131.571</v>
      </c>
      <c r="Z4" s="49">
        <f>+Y4*1.08</f>
        <v>142.09668000000002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3165</v>
      </c>
      <c r="R6" s="27">
        <v>300</v>
      </c>
      <c r="S6" s="26">
        <v>35</v>
      </c>
      <c r="T6" s="26"/>
      <c r="U6" s="28"/>
      <c r="V6" s="81">
        <f>C6-Q6-S6+U6-R6-T6</f>
        <v>0</v>
      </c>
      <c r="W6" s="25">
        <f t="shared" si="4"/>
        <v>3165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300</v>
      </c>
      <c r="S8" s="26"/>
      <c r="T8" s="23"/>
      <c r="U8" s="28"/>
      <c r="V8" s="24">
        <f t="shared" si="0"/>
        <v>1345.6</v>
      </c>
      <c r="W8" s="25">
        <f t="shared" si="4"/>
        <v>4700</v>
      </c>
      <c r="X8" s="40" t="s">
        <v>26</v>
      </c>
      <c r="Y8" s="49">
        <f t="shared" si="6"/>
        <v>134.56</v>
      </c>
      <c r="Z8" s="49">
        <f t="shared" si="5"/>
        <v>145.32480000000001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2680.6</v>
      </c>
      <c r="R9" s="27"/>
      <c r="S9" s="26"/>
      <c r="T9" s="48">
        <v>588.71</v>
      </c>
      <c r="U9" s="28"/>
      <c r="V9" s="24">
        <f t="shared" si="0"/>
        <v>84.690000000000055</v>
      </c>
      <c r="W9" s="25">
        <f t="shared" si="4"/>
        <v>2765.29</v>
      </c>
      <c r="X9" s="40" t="s">
        <v>35</v>
      </c>
      <c r="Y9" s="49">
        <f t="shared" si="6"/>
        <v>8.4690000000000065</v>
      </c>
      <c r="Z9" s="49">
        <f t="shared" si="5"/>
        <v>9.1465200000000078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3167.2</v>
      </c>
      <c r="R10" s="27">
        <v>300</v>
      </c>
      <c r="S10" s="26">
        <v>70</v>
      </c>
      <c r="T10" s="48">
        <f>463</f>
        <v>463</v>
      </c>
      <c r="U10" s="28"/>
      <c r="V10" s="100">
        <f>C10-Q10-S10+U10-R10-T10+0.2</f>
        <v>1.819100425848319E-13</v>
      </c>
      <c r="W10" s="25">
        <f t="shared" si="4"/>
        <v>3167.2</v>
      </c>
      <c r="X10" s="40" t="s">
        <v>26</v>
      </c>
      <c r="Y10" s="49">
        <f t="shared" si="6"/>
        <v>1.8191004258483192E-14</v>
      </c>
      <c r="Z10" s="49">
        <f t="shared" si="5"/>
        <v>1.9646284599161848E-14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3459.2</v>
      </c>
      <c r="R11" s="27"/>
      <c r="S11" s="26"/>
      <c r="T11" s="26"/>
      <c r="U11" s="28"/>
      <c r="V11" s="24">
        <f t="shared" si="0"/>
        <v>540.80000000000018</v>
      </c>
      <c r="W11" s="25">
        <f t="shared" si="4"/>
        <v>4000</v>
      </c>
      <c r="X11" s="40" t="s">
        <v>74</v>
      </c>
      <c r="Y11" s="49">
        <f t="shared" si="6"/>
        <v>54.08000000000002</v>
      </c>
      <c r="Z11" s="49">
        <f t="shared" si="5"/>
        <v>58.406400000000026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ref="E13" si="7">D13*6</f>
        <v>2519.2799999999997</v>
      </c>
      <c r="F13" s="21"/>
      <c r="G13" s="22"/>
      <c r="H13" s="22"/>
      <c r="I13" s="22"/>
      <c r="J13" s="22"/>
      <c r="K13" s="22"/>
      <c r="L13" s="34">
        <f t="shared" ref="L13" si="8">+E13+D13</f>
        <v>2939.16</v>
      </c>
      <c r="M13" s="30"/>
      <c r="N13" s="15"/>
      <c r="O13" s="14"/>
      <c r="P13" s="14"/>
      <c r="Q13" s="19">
        <v>3354.4</v>
      </c>
      <c r="R13" s="27"/>
      <c r="S13" s="26"/>
      <c r="T13" s="23"/>
      <c r="U13" s="28"/>
      <c r="V13" s="24">
        <f t="shared" ref="V13" si="9">C13-Q13-S13+U13-R13-T13</f>
        <v>1645.6</v>
      </c>
      <c r="W13" s="25">
        <f t="shared" ref="W13" si="10">Q13+V13</f>
        <v>5000</v>
      </c>
      <c r="X13" s="40" t="s">
        <v>26</v>
      </c>
      <c r="Y13" s="49">
        <f t="shared" ref="Y13" si="11">+V13*0.1</f>
        <v>164.56</v>
      </c>
      <c r="Z13" s="49">
        <f t="shared" ref="Z13" si="12">+Y13*1.08</f>
        <v>177.72480000000002</v>
      </c>
    </row>
    <row r="14" spans="1:27" ht="15.75" thickBot="1" x14ac:dyDescent="0.3">
      <c r="A14" s="42">
        <v>38</v>
      </c>
      <c r="B14" s="47" t="s">
        <v>89</v>
      </c>
      <c r="C14" s="44">
        <v>4500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3459.2</v>
      </c>
      <c r="R14" s="27"/>
      <c r="S14" s="26"/>
      <c r="T14" s="23"/>
      <c r="U14" s="28"/>
      <c r="V14" s="24">
        <f t="shared" si="0"/>
        <v>1040.8000000000002</v>
      </c>
      <c r="W14" s="25">
        <f t="shared" si="4"/>
        <v>4500</v>
      </c>
      <c r="X14" s="40" t="s">
        <v>26</v>
      </c>
      <c r="Y14" s="49">
        <f t="shared" si="6"/>
        <v>104.08000000000003</v>
      </c>
      <c r="Z14" s="49">
        <f t="shared" si="5"/>
        <v>112.40640000000003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13">SUM(E4:E5)</f>
        <v>5038.5599999999995</v>
      </c>
      <c r="F15" s="20">
        <f t="shared" si="13"/>
        <v>839.76</v>
      </c>
      <c r="G15" s="20">
        <f t="shared" si="13"/>
        <v>500</v>
      </c>
      <c r="H15" s="20">
        <f t="shared" si="13"/>
        <v>587.83199999999999</v>
      </c>
      <c r="I15" s="20">
        <f t="shared" si="13"/>
        <v>587.83199999999999</v>
      </c>
      <c r="J15" s="20">
        <f t="shared" si="13"/>
        <v>312.41000000000003</v>
      </c>
      <c r="K15" s="20">
        <f t="shared" si="13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35212.600000000006</v>
      </c>
      <c r="R15" s="20">
        <f t="shared" ref="R15:W15" si="14">SUM(R4:R14)</f>
        <v>900</v>
      </c>
      <c r="S15" s="20">
        <f t="shared" si="14"/>
        <v>105</v>
      </c>
      <c r="T15" s="20">
        <f t="shared" si="14"/>
        <v>2596.61</v>
      </c>
      <c r="U15" s="20">
        <f t="shared" si="14"/>
        <v>1170</v>
      </c>
      <c r="V15" s="20">
        <f t="shared" si="14"/>
        <v>7064.39</v>
      </c>
      <c r="W15" s="20">
        <f t="shared" si="14"/>
        <v>42276.99</v>
      </c>
      <c r="Y15" s="20">
        <f>SUM(Y4:Y14)</f>
        <v>706.43900000000008</v>
      </c>
      <c r="Z15" s="20">
        <f>SUM(Z4:Z14)</f>
        <v>762.95412000000022</v>
      </c>
      <c r="AA15" s="10">
        <f>SUM(Z15+W15)</f>
        <v>43039.94412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2020-0A16-47A6-824B-62676FCEC763}">
  <sheetPr>
    <pageSetUpPr fitToPage="1"/>
  </sheetPr>
  <dimension ref="A1:AA19"/>
  <sheetViews>
    <sheetView showGridLines="0" topLeftCell="C1" zoomScaleNormal="100" workbookViewId="0">
      <selection activeCell="T4" sqref="T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23">
        <v>580.09</v>
      </c>
      <c r="U4" s="28">
        <v>2060</v>
      </c>
      <c r="V4" s="24">
        <f t="shared" ref="V4:V14" si="0">C4-Q4-S4+U4-R4-T4</f>
        <v>2205.71</v>
      </c>
      <c r="W4" s="25">
        <f>Q4+V4</f>
        <v>4979.91</v>
      </c>
      <c r="X4" s="40" t="s">
        <v>26</v>
      </c>
      <c r="Y4" s="49">
        <f>+V4*0.1</f>
        <v>220.57100000000003</v>
      </c>
      <c r="Z4" s="49">
        <f>+Y4*1.08</f>
        <v>238.21668000000005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f>700</f>
        <v>700</v>
      </c>
      <c r="U5" s="28"/>
      <c r="V5" s="24">
        <f t="shared" si="0"/>
        <v>945.80000000000018</v>
      </c>
      <c r="W5" s="25">
        <f t="shared" ref="W5:W14" si="4">Q5+V5</f>
        <v>4300</v>
      </c>
      <c r="X5" s="40">
        <v>2</v>
      </c>
      <c r="Y5" s="49">
        <f>+V5*0.1</f>
        <v>94.580000000000027</v>
      </c>
      <c r="Z5" s="49">
        <f t="shared" ref="Z5:Z14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3095.2</v>
      </c>
      <c r="R6" s="27">
        <v>300</v>
      </c>
      <c r="S6" s="26">
        <v>105</v>
      </c>
      <c r="T6" s="26"/>
      <c r="U6" s="28"/>
      <c r="V6" s="81">
        <f>C6-Q6-S6+U6-R6-T6+0.2</f>
        <v>1.819100425848319E-13</v>
      </c>
      <c r="W6" s="25">
        <f t="shared" si="4"/>
        <v>3095.2</v>
      </c>
      <c r="X6" s="40" t="s">
        <v>26</v>
      </c>
      <c r="Y6" s="49">
        <f t="shared" ref="Y6:Y14" si="6">+V6*0.1</f>
        <v>1.8191004258483192E-14</v>
      </c>
      <c r="Z6" s="49">
        <f t="shared" si="5"/>
        <v>1.9646284599161848E-14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/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>
        <v>140</v>
      </c>
      <c r="T8" s="23"/>
      <c r="U8" s="28"/>
      <c r="V8" s="24">
        <f t="shared" si="0"/>
        <v>1205.8000000000002</v>
      </c>
      <c r="W8" s="25">
        <f t="shared" si="4"/>
        <v>4560</v>
      </c>
      <c r="X8" s="40" t="s">
        <v>26</v>
      </c>
      <c r="Y8" s="49">
        <f t="shared" si="6"/>
        <v>120.58000000000003</v>
      </c>
      <c r="Z8" s="49">
        <f t="shared" si="5"/>
        <v>130.22640000000004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2868.6</v>
      </c>
      <c r="R10" s="27"/>
      <c r="S10" s="26"/>
      <c r="T10" s="48">
        <f>463+668.57</f>
        <v>1131.5700000000002</v>
      </c>
      <c r="U10" s="28"/>
      <c r="V10" s="100">
        <f>C10-Q10-S10+U10-R10-T10+0.17</f>
        <v>-7.2747363688563382E-14</v>
      </c>
      <c r="W10" s="25">
        <f t="shared" si="4"/>
        <v>2868.6</v>
      </c>
      <c r="X10" s="40" t="s">
        <v>26</v>
      </c>
      <c r="Y10" s="49">
        <f t="shared" si="6"/>
        <v>-7.2747363688563389E-15</v>
      </c>
      <c r="Z10" s="49">
        <f t="shared" si="5"/>
        <v>-7.8567152783648464E-15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74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/>
      <c r="T13" s="23"/>
      <c r="U13" s="28"/>
      <c r="V13" s="24">
        <f t="shared" ref="V13" si="7">C13-Q13-S13+U13-R13-T13</f>
        <v>1645.8000000000002</v>
      </c>
      <c r="W13" s="25">
        <f t="shared" si="4"/>
        <v>5000</v>
      </c>
      <c r="X13" s="40" t="s">
        <v>26</v>
      </c>
      <c r="Y13" s="49">
        <f t="shared" si="6"/>
        <v>164.58000000000004</v>
      </c>
      <c r="Z13" s="49">
        <f t="shared" si="5"/>
        <v>177.74640000000005</v>
      </c>
    </row>
    <row r="14" spans="1:27" ht="15.75" thickBot="1" x14ac:dyDescent="0.3">
      <c r="A14" s="42">
        <v>38</v>
      </c>
      <c r="B14" s="47" t="s">
        <v>89</v>
      </c>
      <c r="C14" s="44">
        <v>4500</v>
      </c>
      <c r="D14" s="6">
        <v>419.88</v>
      </c>
      <c r="E14" s="7">
        <f t="shared" si="1"/>
        <v>2519.2799999999997</v>
      </c>
      <c r="F14" s="21"/>
      <c r="G14" s="22"/>
      <c r="H14" s="22"/>
      <c r="I14" s="22"/>
      <c r="J14" s="22"/>
      <c r="K14" s="22"/>
      <c r="L14" s="34">
        <f t="shared" si="3"/>
        <v>2939.16</v>
      </c>
      <c r="M14" s="30"/>
      <c r="N14" s="15"/>
      <c r="O14" s="14"/>
      <c r="P14" s="14"/>
      <c r="Q14" s="19">
        <v>3379.2</v>
      </c>
      <c r="R14" s="27"/>
      <c r="S14" s="26"/>
      <c r="T14" s="23">
        <v>282.86</v>
      </c>
      <c r="U14" s="28"/>
      <c r="V14" s="24">
        <f t="shared" si="0"/>
        <v>837.94000000000017</v>
      </c>
      <c r="W14" s="25">
        <f t="shared" si="4"/>
        <v>4217.1400000000003</v>
      </c>
      <c r="X14" s="40" t="s">
        <v>26</v>
      </c>
      <c r="Y14" s="49">
        <f t="shared" si="6"/>
        <v>83.794000000000025</v>
      </c>
      <c r="Z14" s="49">
        <f t="shared" si="5"/>
        <v>90.497520000000037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8">SUM(E4:E5)</f>
        <v>5038.5599999999995</v>
      </c>
      <c r="F15" s="20">
        <f t="shared" si="8"/>
        <v>839.76</v>
      </c>
      <c r="G15" s="20">
        <f t="shared" si="8"/>
        <v>500</v>
      </c>
      <c r="H15" s="20">
        <f t="shared" si="8"/>
        <v>587.83199999999999</v>
      </c>
      <c r="I15" s="20">
        <f t="shared" si="8"/>
        <v>587.83199999999999</v>
      </c>
      <c r="J15" s="20">
        <f t="shared" si="8"/>
        <v>312.41000000000003</v>
      </c>
      <c r="K15" s="20">
        <f t="shared" si="8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34781</v>
      </c>
      <c r="R15" s="20">
        <f t="shared" ref="R15:W15" si="9">SUM(R4:R14)</f>
        <v>600</v>
      </c>
      <c r="S15" s="20">
        <f t="shared" si="9"/>
        <v>245</v>
      </c>
      <c r="T15" s="20">
        <f t="shared" si="9"/>
        <v>3545.5800000000004</v>
      </c>
      <c r="U15" s="20">
        <f t="shared" si="9"/>
        <v>2060</v>
      </c>
      <c r="V15" s="20">
        <f t="shared" si="9"/>
        <v>7597.1900000000014</v>
      </c>
      <c r="W15" s="20">
        <f t="shared" si="9"/>
        <v>42378.19</v>
      </c>
      <c r="Y15" s="20">
        <f>SUM(Y4:Y14)</f>
        <v>759.71900000000016</v>
      </c>
      <c r="Z15" s="20">
        <f>SUM(Z4:Z14)</f>
        <v>820.49652000000026</v>
      </c>
      <c r="AA15" s="10">
        <f>SUM(Z15+W15)</f>
        <v>43198.686520000003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17488-D375-41C2-B45E-06025825E4FB}">
  <sheetPr>
    <pageSetUpPr fitToPage="1"/>
  </sheetPr>
  <dimension ref="A1:AA19"/>
  <sheetViews>
    <sheetView showGridLines="0" zoomScaleNormal="100" workbookViewId="0">
      <selection activeCell="T4" sqref="T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23">
        <v>580.09</v>
      </c>
      <c r="U4" s="28">
        <v>1170</v>
      </c>
      <c r="V4" s="24">
        <f t="shared" ref="V4:V14" si="0">C4-Q4-S4+U4-R4-T4</f>
        <v>1315.71</v>
      </c>
      <c r="W4" s="25">
        <f>Q4+V4</f>
        <v>4089.91</v>
      </c>
      <c r="X4" s="40" t="s">
        <v>26</v>
      </c>
      <c r="Y4" s="49">
        <f>+V4*0.1</f>
        <v>131.571</v>
      </c>
      <c r="Z4" s="49">
        <f>+Y4*1.08</f>
        <v>142.09668000000002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4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4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4" si="4">Q5+V5</f>
        <v>4300</v>
      </c>
      <c r="X5" s="40">
        <v>2</v>
      </c>
      <c r="Y5" s="49">
        <f>+V5*0.1</f>
        <v>94.56</v>
      </c>
      <c r="Z5" s="49">
        <f t="shared" ref="Z5:Z14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3240</v>
      </c>
      <c r="R6" s="27">
        <v>225</v>
      </c>
      <c r="S6" s="26">
        <v>35</v>
      </c>
      <c r="T6" s="26"/>
      <c r="U6" s="28"/>
      <c r="V6" s="81">
        <f>C6-Q6-S6+U6-R6-T6</f>
        <v>0</v>
      </c>
      <c r="W6" s="25">
        <f t="shared" si="4"/>
        <v>3240</v>
      </c>
      <c r="X6" s="40" t="s">
        <v>26</v>
      </c>
      <c r="Y6" s="49">
        <f t="shared" ref="Y6:Y14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/>
      <c r="T8" s="23"/>
      <c r="U8" s="28"/>
      <c r="V8" s="24">
        <f t="shared" si="0"/>
        <v>1270.5999999999999</v>
      </c>
      <c r="W8" s="25">
        <f t="shared" si="4"/>
        <v>4625</v>
      </c>
      <c r="X8" s="40" t="s">
        <v>26</v>
      </c>
      <c r="Y8" s="49">
        <f t="shared" si="6"/>
        <v>127.06</v>
      </c>
      <c r="Z8" s="49">
        <f t="shared" si="5"/>
        <v>137.22480000000002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3354.4</v>
      </c>
      <c r="R10" s="27">
        <v>375</v>
      </c>
      <c r="S10" s="26">
        <v>70</v>
      </c>
      <c r="T10" s="26"/>
      <c r="U10" s="28"/>
      <c r="V10" s="100">
        <f>C10-Q10-S10+U10-R10-T10</f>
        <v>200.59999999999991</v>
      </c>
      <c r="W10" s="25">
        <f t="shared" si="4"/>
        <v>3555</v>
      </c>
      <c r="X10" s="40" t="s">
        <v>26</v>
      </c>
      <c r="Y10" s="49">
        <f t="shared" si="6"/>
        <v>20.059999999999992</v>
      </c>
      <c r="Z10" s="49">
        <f t="shared" si="5"/>
        <v>21.664799999999993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4240.3999999999996</v>
      </c>
      <c r="R11" s="27"/>
      <c r="S11" s="26"/>
      <c r="T11" s="26"/>
      <c r="U11" s="28">
        <v>1142.8499999999999</v>
      </c>
      <c r="V11" s="24">
        <f t="shared" si="0"/>
        <v>902.45000000000027</v>
      </c>
      <c r="W11" s="25">
        <f t="shared" si="4"/>
        <v>5142.8500000000004</v>
      </c>
      <c r="X11" s="40" t="s">
        <v>74</v>
      </c>
      <c r="Y11" s="49">
        <f t="shared" si="6"/>
        <v>90.245000000000033</v>
      </c>
      <c r="Z11" s="49">
        <f t="shared" si="5"/>
        <v>97.464600000000047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3354.2</v>
      </c>
      <c r="R12" s="27"/>
      <c r="S12" s="26"/>
      <c r="T12" s="26"/>
      <c r="U12" s="28"/>
      <c r="V12" s="24"/>
      <c r="W12" s="25">
        <f t="shared" si="4"/>
        <v>3354.2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/>
      <c r="T13" s="23"/>
      <c r="U13" s="28"/>
      <c r="V13" s="24">
        <f t="shared" ref="V13" si="7">C13-Q13-S13+U13-R13-T13</f>
        <v>1645.6</v>
      </c>
      <c r="W13" s="25">
        <f t="shared" si="4"/>
        <v>5000</v>
      </c>
      <c r="X13" s="40" t="s">
        <v>26</v>
      </c>
      <c r="Y13" s="49">
        <f t="shared" si="6"/>
        <v>164.56</v>
      </c>
      <c r="Z13" s="49">
        <f t="shared" si="5"/>
        <v>177.72480000000002</v>
      </c>
    </row>
    <row r="14" spans="1:27" ht="15.75" thickBot="1" x14ac:dyDescent="0.3">
      <c r="A14" s="50">
        <v>38</v>
      </c>
      <c r="B14" s="101" t="s">
        <v>89</v>
      </c>
      <c r="C14" s="52">
        <v>4500</v>
      </c>
      <c r="D14" s="53">
        <v>419.88</v>
      </c>
      <c r="E14" s="54">
        <f t="shared" si="1"/>
        <v>2519.2799999999997</v>
      </c>
      <c r="F14" s="102"/>
      <c r="G14" s="103"/>
      <c r="H14" s="103"/>
      <c r="I14" s="103"/>
      <c r="J14" s="103"/>
      <c r="K14" s="103"/>
      <c r="L14" s="57">
        <f t="shared" si="3"/>
        <v>2939.16</v>
      </c>
      <c r="M14" s="58"/>
      <c r="N14" s="59"/>
      <c r="O14" s="60"/>
      <c r="P14" s="60"/>
      <c r="Q14" s="61">
        <v>0</v>
      </c>
      <c r="R14" s="62"/>
      <c r="S14" s="63"/>
      <c r="T14" s="63">
        <v>4500</v>
      </c>
      <c r="U14" s="64"/>
      <c r="V14" s="65">
        <f t="shared" si="0"/>
        <v>0</v>
      </c>
      <c r="W14" s="66">
        <f t="shared" si="4"/>
        <v>0</v>
      </c>
      <c r="X14" s="67" t="s">
        <v>26</v>
      </c>
      <c r="Y14" s="68">
        <f t="shared" si="6"/>
        <v>0</v>
      </c>
      <c r="Z14" s="68">
        <f t="shared" si="5"/>
        <v>0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8">SUM(E4:E5)</f>
        <v>5038.5599999999995</v>
      </c>
      <c r="F15" s="20">
        <f t="shared" si="8"/>
        <v>839.76</v>
      </c>
      <c r="G15" s="20">
        <f t="shared" si="8"/>
        <v>500</v>
      </c>
      <c r="H15" s="20">
        <f t="shared" si="8"/>
        <v>587.83199999999999</v>
      </c>
      <c r="I15" s="20">
        <f t="shared" si="8"/>
        <v>587.83199999999999</v>
      </c>
      <c r="J15" s="20">
        <f t="shared" si="8"/>
        <v>312.41000000000003</v>
      </c>
      <c r="K15" s="20">
        <f t="shared" si="8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>SUM(Q4:Q14)</f>
        <v>32814</v>
      </c>
      <c r="R15" s="20">
        <f t="shared" ref="R15:W15" si="9">SUM(R4:R14)</f>
        <v>975</v>
      </c>
      <c r="S15" s="20">
        <f t="shared" si="9"/>
        <v>105</v>
      </c>
      <c r="T15" s="20">
        <f t="shared" si="9"/>
        <v>6631.15</v>
      </c>
      <c r="U15" s="20">
        <f t="shared" si="9"/>
        <v>2312.85</v>
      </c>
      <c r="V15" s="20">
        <f t="shared" si="9"/>
        <v>6495.9</v>
      </c>
      <c r="W15" s="20">
        <f t="shared" si="9"/>
        <v>39309.899999999994</v>
      </c>
      <c r="Y15" s="20">
        <f>SUM(Y4:Y14)</f>
        <v>649.59000000000015</v>
      </c>
      <c r="Z15" s="20">
        <f>SUM(Z4:Z14)</f>
        <v>701.55720000000019</v>
      </c>
      <c r="AA15" s="10">
        <f>SUM(Z15+W15)</f>
        <v>40011.457199999997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8"/>
  <sheetViews>
    <sheetView showGridLines="0" topLeftCell="R1" workbookViewId="0">
      <selection activeCell="AA14" sqref="AA1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1270</v>
      </c>
      <c r="V4" s="24">
        <f t="shared" ref="V4:V13" si="0">C4-Q4-S4+U4-R4-T4</f>
        <v>1415.6</v>
      </c>
      <c r="W4" s="25">
        <f>Q4+V4</f>
        <v>4770</v>
      </c>
      <c r="X4" s="40" t="s">
        <v>26</v>
      </c>
      <c r="Y4" s="49">
        <f>+V4*0.1</f>
        <v>141.56</v>
      </c>
      <c r="Z4" s="49">
        <f>+Y4*1.08</f>
        <v>152.88480000000001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:F6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3393.4</v>
      </c>
      <c r="R5" s="27"/>
      <c r="S5" s="26"/>
      <c r="T5" s="26"/>
      <c r="U5" s="28">
        <v>178.57</v>
      </c>
      <c r="V5" s="24">
        <f t="shared" si="0"/>
        <v>1785.1699999999998</v>
      </c>
      <c r="W5" s="25">
        <f t="shared" ref="W5:W13" si="4">Q5+V5</f>
        <v>5178.57</v>
      </c>
      <c r="X5" s="40">
        <v>2</v>
      </c>
      <c r="Y5" s="49">
        <f>+V5*0.1</f>
        <v>178.517</v>
      </c>
      <c r="Z5" s="49">
        <f t="shared" ref="Z5:Z13" si="5">+Y5*1.08</f>
        <v>192.79836</v>
      </c>
    </row>
    <row r="6" spans="1:27" ht="15.75" thickBot="1" x14ac:dyDescent="0.3">
      <c r="A6" s="42">
        <v>16</v>
      </c>
      <c r="B6" s="46" t="s">
        <v>21</v>
      </c>
      <c r="C6" s="44">
        <v>3354</v>
      </c>
      <c r="D6" s="6">
        <v>419.88</v>
      </c>
      <c r="E6" s="7">
        <f t="shared" si="1"/>
        <v>2519.2799999999997</v>
      </c>
      <c r="F6" s="8">
        <f t="shared" si="2"/>
        <v>419.88</v>
      </c>
      <c r="G6" s="13">
        <v>250</v>
      </c>
      <c r="H6" s="13">
        <f>($E$6+$F$6)*0.1</f>
        <v>293.916</v>
      </c>
      <c r="I6" s="13">
        <f>($E$6+$F$6)*0.1</f>
        <v>293.916</v>
      </c>
      <c r="J6" s="13">
        <v>0</v>
      </c>
      <c r="K6" s="13">
        <v>0</v>
      </c>
      <c r="L6" s="34">
        <f t="shared" si="3"/>
        <v>2939.16</v>
      </c>
      <c r="M6" s="30"/>
      <c r="N6" s="15"/>
      <c r="O6" s="14"/>
      <c r="P6" s="14"/>
      <c r="Q6" s="19">
        <v>3354.2</v>
      </c>
      <c r="R6" s="27"/>
      <c r="S6" s="26"/>
      <c r="T6" s="26"/>
      <c r="U6" s="28"/>
      <c r="V6" s="24">
        <v>0</v>
      </c>
      <c r="W6" s="25">
        <f>Q6+V6</f>
        <v>3354.2</v>
      </c>
      <c r="X6" s="40" t="s">
        <v>30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25</v>
      </c>
      <c r="B7" s="46" t="s">
        <v>31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3200</v>
      </c>
      <c r="R7" s="27">
        <v>300</v>
      </c>
      <c r="S7" s="26"/>
      <c r="T7" s="26"/>
      <c r="U7" s="28"/>
      <c r="V7" s="24">
        <f t="shared" si="0"/>
        <v>0</v>
      </c>
      <c r="W7" s="25">
        <f t="shared" si="4"/>
        <v>3200</v>
      </c>
      <c r="X7" s="40" t="s">
        <v>26</v>
      </c>
      <c r="Y7" s="49">
        <f t="shared" si="6"/>
        <v>0</v>
      </c>
      <c r="Z7" s="49">
        <f t="shared" si="5"/>
        <v>0</v>
      </c>
    </row>
    <row r="8" spans="1:27" ht="15.75" thickBot="1" x14ac:dyDescent="0.3">
      <c r="A8" s="42">
        <v>26</v>
      </c>
      <c r="B8" s="47" t="s">
        <v>32</v>
      </c>
      <c r="C8" s="44">
        <v>3500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/>
      <c r="S8" s="26">
        <v>0</v>
      </c>
      <c r="T8" s="26"/>
      <c r="U8" s="28"/>
      <c r="V8" s="24">
        <f t="shared" si="0"/>
        <v>145.59999999999991</v>
      </c>
      <c r="W8" s="25">
        <f t="shared" si="4"/>
        <v>3500</v>
      </c>
      <c r="X8" s="40" t="s">
        <v>30</v>
      </c>
      <c r="Y8" s="49">
        <f t="shared" si="6"/>
        <v>14.559999999999992</v>
      </c>
      <c r="Z8" s="49">
        <f t="shared" si="5"/>
        <v>15.724799999999991</v>
      </c>
    </row>
    <row r="9" spans="1:27" ht="15.75" thickBot="1" x14ac:dyDescent="0.3">
      <c r="A9" s="42">
        <v>27</v>
      </c>
      <c r="B9" s="47" t="s">
        <v>33</v>
      </c>
      <c r="C9" s="44">
        <v>5000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3354.4</v>
      </c>
      <c r="R9" s="27">
        <v>375</v>
      </c>
      <c r="S9" s="26">
        <v>140</v>
      </c>
      <c r="T9" s="26"/>
      <c r="U9" s="28"/>
      <c r="V9" s="24">
        <f t="shared" si="0"/>
        <v>1130.5999999999999</v>
      </c>
      <c r="W9" s="25">
        <f t="shared" si="4"/>
        <v>4485</v>
      </c>
      <c r="X9" s="40" t="s">
        <v>26</v>
      </c>
      <c r="Y9" s="49">
        <f t="shared" si="6"/>
        <v>113.06</v>
      </c>
      <c r="Z9" s="49">
        <f t="shared" si="5"/>
        <v>122.10480000000001</v>
      </c>
    </row>
    <row r="10" spans="1:27" ht="15.75" thickBot="1" x14ac:dyDescent="0.3">
      <c r="A10" s="42">
        <v>28</v>
      </c>
      <c r="B10" s="47" t="s">
        <v>34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2675.4</v>
      </c>
      <c r="R10" s="27"/>
      <c r="S10" s="26"/>
      <c r="T10" s="48">
        <v>608.66999999999996</v>
      </c>
      <c r="U10" s="28"/>
      <c r="V10" s="24">
        <f t="shared" si="0"/>
        <v>69.92999999999995</v>
      </c>
      <c r="W10" s="25">
        <f t="shared" si="4"/>
        <v>2745.33</v>
      </c>
      <c r="X10" s="40" t="s">
        <v>35</v>
      </c>
      <c r="Y10" s="49">
        <f t="shared" si="6"/>
        <v>6.992999999999995</v>
      </c>
      <c r="Z10" s="49">
        <f t="shared" si="5"/>
        <v>7.5524399999999954</v>
      </c>
    </row>
    <row r="11" spans="1:27" ht="15.75" thickBot="1" x14ac:dyDescent="0.3">
      <c r="A11" s="42">
        <v>33</v>
      </c>
      <c r="B11" s="47" t="s">
        <v>36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35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34</v>
      </c>
      <c r="B12" s="47" t="s">
        <v>37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3354.2</v>
      </c>
      <c r="R12" s="27">
        <v>375</v>
      </c>
      <c r="S12" s="26">
        <v>0</v>
      </c>
      <c r="T12" s="26"/>
      <c r="U12" s="28"/>
      <c r="V12" s="24">
        <f t="shared" si="0"/>
        <v>270.80000000000018</v>
      </c>
      <c r="W12" s="25">
        <f t="shared" si="4"/>
        <v>3625</v>
      </c>
      <c r="X12" s="40" t="s">
        <v>35</v>
      </c>
      <c r="Y12" s="49">
        <f t="shared" si="6"/>
        <v>27.08000000000002</v>
      </c>
      <c r="Z12" s="49">
        <f t="shared" si="5"/>
        <v>29.246400000000023</v>
      </c>
    </row>
    <row r="13" spans="1:27" ht="15.75" thickBot="1" x14ac:dyDescent="0.3">
      <c r="A13" s="42">
        <v>35</v>
      </c>
      <c r="B13" s="47" t="s">
        <v>38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3459.4</v>
      </c>
      <c r="R13" s="27"/>
      <c r="S13" s="26">
        <v>0</v>
      </c>
      <c r="T13" s="26"/>
      <c r="U13" s="28"/>
      <c r="V13" s="24">
        <f t="shared" si="0"/>
        <v>540.59999999999991</v>
      </c>
      <c r="W13" s="25">
        <f t="shared" si="4"/>
        <v>4000</v>
      </c>
      <c r="X13" s="40" t="s">
        <v>35</v>
      </c>
      <c r="Y13" s="49">
        <f t="shared" si="6"/>
        <v>54.059999999999995</v>
      </c>
      <c r="Z13" s="49">
        <f t="shared" si="5"/>
        <v>58.384799999999998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SUM(E4:E6)</f>
        <v>7557.8399999999992</v>
      </c>
      <c r="F14" s="20">
        <f t="shared" si="7"/>
        <v>1259.6399999999999</v>
      </c>
      <c r="G14" s="20">
        <f t="shared" si="7"/>
        <v>750</v>
      </c>
      <c r="H14" s="20">
        <f t="shared" si="7"/>
        <v>881.74800000000005</v>
      </c>
      <c r="I14" s="20">
        <f t="shared" si="7"/>
        <v>881.74800000000005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SUM(M4:M6)</f>
        <v>0</v>
      </c>
      <c r="N14" s="20">
        <f>SUM(N4:N6)</f>
        <v>0</v>
      </c>
      <c r="O14" s="20">
        <f>SUM(O4:O6)</f>
        <v>399.93</v>
      </c>
      <c r="P14" s="20">
        <f>SUM(P4:P6)</f>
        <v>0.06</v>
      </c>
      <c r="Q14" s="20">
        <f>SUM(Q4:Q13)</f>
        <v>32959.200000000004</v>
      </c>
      <c r="R14" s="20">
        <f t="shared" ref="R14:W14" si="8">SUM(R4:R13)</f>
        <v>1050</v>
      </c>
      <c r="S14" s="20">
        <f t="shared" si="8"/>
        <v>140</v>
      </c>
      <c r="T14" s="20">
        <f t="shared" si="8"/>
        <v>608.66999999999996</v>
      </c>
      <c r="U14" s="20">
        <f>SUM(U4:U13)</f>
        <v>1448.57</v>
      </c>
      <c r="V14" s="20">
        <f>SUM(V4:V13)</f>
        <v>5898.9</v>
      </c>
      <c r="W14" s="20">
        <f t="shared" si="8"/>
        <v>38858.1</v>
      </c>
      <c r="Y14" s="20">
        <f>SUM(Y4:Y13)</f>
        <v>589.89</v>
      </c>
      <c r="Z14" s="20">
        <f>SUM(Z4:Z13)</f>
        <v>637.08120000000008</v>
      </c>
      <c r="AA14" s="10">
        <f>SUM(Z14+W14)</f>
        <v>39495.181199999999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legacy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DD4C6-1CDE-4757-AA7B-AA4BCA0BF652}">
  <sheetPr>
    <pageSetUpPr fitToPage="1"/>
  </sheetPr>
  <dimension ref="A1:AA19"/>
  <sheetViews>
    <sheetView showGridLines="0" topLeftCell="A3" zoomScaleNormal="100" workbookViewId="0">
      <selection activeCell="B10" sqref="B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48">
        <f>580.09+220</f>
        <v>800.09</v>
      </c>
      <c r="U4" s="28">
        <v>1400</v>
      </c>
      <c r="V4" s="24">
        <f t="shared" ref="V4:V11" si="0">C4-Q4-S4+U4-R4-T4</f>
        <v>1325.71</v>
      </c>
      <c r="W4" s="25">
        <f>Q4+V4</f>
        <v>4099.91</v>
      </c>
      <c r="X4" s="40" t="s">
        <v>26</v>
      </c>
      <c r="Y4" s="49">
        <f>+V4*0.1</f>
        <v>132.571</v>
      </c>
      <c r="Z4" s="49">
        <f>+Y4*1.08</f>
        <v>143.17668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2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2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f>700</f>
        <v>700</v>
      </c>
      <c r="U5" s="28"/>
      <c r="V5" s="24">
        <f t="shared" si="0"/>
        <v>945.80000000000018</v>
      </c>
      <c r="W5" s="25">
        <f t="shared" ref="W5:W12" si="4">Q5+V5</f>
        <v>4300</v>
      </c>
      <c r="X5" s="40">
        <v>2</v>
      </c>
      <c r="Y5" s="49">
        <f>+V5*0.1</f>
        <v>94.580000000000027</v>
      </c>
      <c r="Z5" s="49">
        <f t="shared" ref="Z5:Z12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3275</v>
      </c>
      <c r="R6" s="27">
        <v>225</v>
      </c>
      <c r="S6" s="26"/>
      <c r="T6" s="26"/>
      <c r="U6" s="28"/>
      <c r="V6" s="81">
        <f>C6-Q6-S6+U6-R6-T6</f>
        <v>0</v>
      </c>
      <c r="W6" s="25">
        <f t="shared" si="4"/>
        <v>3275</v>
      </c>
      <c r="X6" s="40" t="s">
        <v>26</v>
      </c>
      <c r="Y6" s="49">
        <f t="shared" ref="Y6:Y12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/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35</v>
      </c>
      <c r="T8" s="23"/>
      <c r="U8" s="28"/>
      <c r="V8" s="24">
        <f t="shared" si="0"/>
        <v>1235.8000000000002</v>
      </c>
      <c r="W8" s="25">
        <f t="shared" si="4"/>
        <v>4590</v>
      </c>
      <c r="X8" s="40" t="s">
        <v>26</v>
      </c>
      <c r="Y8" s="49">
        <f t="shared" si="6"/>
        <v>123.58000000000003</v>
      </c>
      <c r="Z8" s="49">
        <f t="shared" si="5"/>
        <v>133.46640000000005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3354.2</v>
      </c>
      <c r="R10" s="27">
        <v>375</v>
      </c>
      <c r="S10" s="26"/>
      <c r="T10" s="26"/>
      <c r="U10" s="28"/>
      <c r="V10" s="100">
        <f>C10-Q10-S10+U10-R10-T10</f>
        <v>270.80000000000018</v>
      </c>
      <c r="W10" s="25">
        <f t="shared" si="4"/>
        <v>3625</v>
      </c>
      <c r="X10" s="40" t="s">
        <v>26</v>
      </c>
      <c r="Y10" s="49">
        <f t="shared" si="6"/>
        <v>27.08000000000002</v>
      </c>
      <c r="Z10" s="49">
        <f t="shared" si="5"/>
        <v>29.246400000000023</v>
      </c>
    </row>
    <row r="11" spans="1:27" ht="15.75" thickBot="1" x14ac:dyDescent="0.3">
      <c r="A11" s="42">
        <v>35</v>
      </c>
      <c r="B11" s="47" t="s">
        <v>38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3459.4</v>
      </c>
      <c r="R11" s="27"/>
      <c r="S11" s="26"/>
      <c r="T11" s="26"/>
      <c r="U11" s="28"/>
      <c r="V11" s="24">
        <f t="shared" si="0"/>
        <v>540.59999999999991</v>
      </c>
      <c r="W11" s="25">
        <f t="shared" si="4"/>
        <v>4000</v>
      </c>
      <c r="X11" s="40" t="s">
        <v>74</v>
      </c>
      <c r="Y11" s="49">
        <f t="shared" si="6"/>
        <v>54.059999999999995</v>
      </c>
      <c r="Z11" s="49">
        <f t="shared" si="5"/>
        <v>58.384799999999998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6"/>
      <c r="U12" s="28"/>
      <c r="V12" s="24"/>
      <c r="W12" s="25">
        <f t="shared" si="4"/>
        <v>3354.4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ref="E13:E14" si="7">D13*6</f>
        <v>2519.2799999999997</v>
      </c>
      <c r="F13" s="21"/>
      <c r="G13" s="22"/>
      <c r="H13" s="22"/>
      <c r="I13" s="22"/>
      <c r="J13" s="22"/>
      <c r="K13" s="22"/>
      <c r="L13" s="34">
        <f t="shared" ref="L13:L14" si="8">+E13+D13</f>
        <v>2939.16</v>
      </c>
      <c r="M13" s="30"/>
      <c r="N13" s="15"/>
      <c r="O13" s="14"/>
      <c r="P13" s="14"/>
      <c r="Q13" s="19">
        <v>3354.2</v>
      </c>
      <c r="R13" s="27"/>
      <c r="S13" s="26"/>
      <c r="T13" s="23"/>
      <c r="U13" s="28"/>
      <c r="V13" s="24">
        <f t="shared" ref="V13" si="9">C13-Q13-S13+U13-R13-T13</f>
        <v>1645.8000000000002</v>
      </c>
      <c r="W13" s="25">
        <f t="shared" ref="W13:W14" si="10">Q13+V13</f>
        <v>5000</v>
      </c>
      <c r="X13" s="40" t="s">
        <v>26</v>
      </c>
      <c r="Y13" s="49">
        <f t="shared" ref="Y13:Y14" si="11">+V13*0.1</f>
        <v>164.58000000000004</v>
      </c>
      <c r="Z13" s="49">
        <f t="shared" ref="Z13:Z14" si="12">+Y13*1.08</f>
        <v>177.74640000000005</v>
      </c>
    </row>
    <row r="14" spans="1:27" ht="15.75" thickBot="1" x14ac:dyDescent="0.3">
      <c r="A14" s="50">
        <v>38</v>
      </c>
      <c r="B14" s="101" t="s">
        <v>89</v>
      </c>
      <c r="C14" s="52">
        <v>4500</v>
      </c>
      <c r="D14" s="53">
        <v>419.88</v>
      </c>
      <c r="E14" s="54">
        <f t="shared" si="7"/>
        <v>2519.2799999999997</v>
      </c>
      <c r="F14" s="102"/>
      <c r="G14" s="103"/>
      <c r="H14" s="103"/>
      <c r="I14" s="103"/>
      <c r="J14" s="103"/>
      <c r="K14" s="103"/>
      <c r="L14" s="57">
        <f t="shared" si="8"/>
        <v>2939.16</v>
      </c>
      <c r="M14" s="58"/>
      <c r="N14" s="59"/>
      <c r="O14" s="60"/>
      <c r="P14" s="60"/>
      <c r="Q14" s="61">
        <v>1034.4000000000001</v>
      </c>
      <c r="R14" s="62"/>
      <c r="S14" s="63"/>
      <c r="T14" s="63">
        <v>4500</v>
      </c>
      <c r="U14" s="64"/>
      <c r="V14" s="65">
        <v>0</v>
      </c>
      <c r="W14" s="66">
        <f t="shared" si="10"/>
        <v>1034.4000000000001</v>
      </c>
      <c r="X14" s="67" t="s">
        <v>26</v>
      </c>
      <c r="Y14" s="68">
        <f t="shared" si="11"/>
        <v>0</v>
      </c>
      <c r="Z14" s="68">
        <f t="shared" si="12"/>
        <v>0</v>
      </c>
    </row>
    <row r="15" spans="1:27" ht="15.75" thickBot="1" x14ac:dyDescent="0.3">
      <c r="A15" s="36"/>
      <c r="B15" s="37"/>
      <c r="C15" s="38">
        <f>SUM(C4:C14)</f>
        <v>44708</v>
      </c>
      <c r="D15" s="35">
        <f>SUM(D4:D14)</f>
        <v>4618.68</v>
      </c>
      <c r="E15" s="20">
        <f t="shared" ref="E15:K15" si="13">SUM(E4:E5)</f>
        <v>5038.5599999999995</v>
      </c>
      <c r="F15" s="20">
        <f t="shared" si="13"/>
        <v>839.76</v>
      </c>
      <c r="G15" s="20">
        <f t="shared" si="13"/>
        <v>500</v>
      </c>
      <c r="H15" s="20">
        <f t="shared" si="13"/>
        <v>587.83199999999999</v>
      </c>
      <c r="I15" s="20">
        <f t="shared" si="13"/>
        <v>587.83199999999999</v>
      </c>
      <c r="J15" s="20">
        <f t="shared" si="13"/>
        <v>312.41000000000003</v>
      </c>
      <c r="K15" s="20">
        <f t="shared" si="13"/>
        <v>78.11</v>
      </c>
      <c r="L15" s="35">
        <f>SUM(L4:L14)</f>
        <v>32330.76</v>
      </c>
      <c r="M15" s="20">
        <f>SUM(M4:M5)</f>
        <v>0</v>
      </c>
      <c r="N15" s="20">
        <f>SUM(N4:N5)</f>
        <v>0</v>
      </c>
      <c r="O15" s="20">
        <f>SUM(O4:O5)</f>
        <v>399.93</v>
      </c>
      <c r="P15" s="20">
        <f>SUM(P4:P5)</f>
        <v>0.06</v>
      </c>
      <c r="Q15" s="20">
        <f t="shared" ref="Q15:W15" si="14">SUM(Q4:Q14)</f>
        <v>33101.600000000006</v>
      </c>
      <c r="R15" s="20">
        <f t="shared" si="14"/>
        <v>975</v>
      </c>
      <c r="S15" s="20">
        <f t="shared" si="14"/>
        <v>35</v>
      </c>
      <c r="T15" s="20">
        <f t="shared" si="14"/>
        <v>6851.15</v>
      </c>
      <c r="U15" s="20">
        <f t="shared" si="14"/>
        <v>1400</v>
      </c>
      <c r="V15" s="20">
        <f t="shared" si="14"/>
        <v>6180.05</v>
      </c>
      <c r="W15" s="20">
        <f t="shared" si="14"/>
        <v>39281.65</v>
      </c>
      <c r="Y15" s="20">
        <f>SUM(Y4:Y14)</f>
        <v>618.00500000000011</v>
      </c>
      <c r="Z15" s="20">
        <f>SUM(Z4:Z14)</f>
        <v>667.44540000000018</v>
      </c>
      <c r="AA15" s="10">
        <f>SUM(Z15+W15)</f>
        <v>39949.095399999998</v>
      </c>
    </row>
    <row r="16" spans="1:27" ht="17.25" x14ac:dyDescent="0.3">
      <c r="A16" s="16"/>
      <c r="B16" s="17"/>
      <c r="G16" s="17"/>
      <c r="H16" s="17"/>
      <c r="I16" s="17"/>
      <c r="J16" s="17"/>
      <c r="K16" s="17"/>
      <c r="M16" s="17"/>
      <c r="N16" s="17"/>
      <c r="O16" s="17"/>
      <c r="P16" s="17"/>
      <c r="Q16" s="41"/>
      <c r="R16" s="17"/>
      <c r="S16" s="17"/>
      <c r="T16" s="17"/>
      <c r="U16" s="17"/>
      <c r="V16" s="17"/>
      <c r="W16" s="18"/>
      <c r="Y16" s="18"/>
      <c r="Z16" s="18"/>
    </row>
    <row r="17" spans="3:22" x14ac:dyDescent="0.25">
      <c r="C17" s="10"/>
    </row>
    <row r="18" spans="3:22" x14ac:dyDescent="0.25">
      <c r="R18" s="10"/>
      <c r="U18" s="10"/>
    </row>
    <row r="19" spans="3:22" ht="17.25" x14ac:dyDescent="0.3">
      <c r="L19" s="17"/>
      <c r="O19" s="10"/>
      <c r="P19" s="10"/>
      <c r="Q19" s="10"/>
      <c r="V19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B60C-7B33-4B27-B148-91B8DDB1D9E1}">
  <sheetPr>
    <pageSetUpPr fitToPage="1"/>
  </sheetPr>
  <dimension ref="A1:AA18"/>
  <sheetViews>
    <sheetView showGridLines="0" zoomScaleNormal="100" workbookViewId="0">
      <selection activeCell="S3" sqref="S3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48">
        <f>580.09</f>
        <v>580.09</v>
      </c>
      <c r="U4" s="28">
        <v>1680</v>
      </c>
      <c r="V4" s="24">
        <f t="shared" ref="V4:V9" si="0">C4-Q4-S4+U4-R4-T4</f>
        <v>1825.71</v>
      </c>
      <c r="W4" s="25">
        <f>Q4+V4</f>
        <v>4599.91</v>
      </c>
      <c r="X4" s="40" t="s">
        <v>26</v>
      </c>
      <c r="Y4" s="49">
        <f>+V4*0.1</f>
        <v>182.57100000000003</v>
      </c>
      <c r="Z4" s="49">
        <f>+Y4*1.08</f>
        <v>197.17668000000003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3" si="4">Q5+V5</f>
        <v>4300</v>
      </c>
      <c r="X5" s="40">
        <v>2</v>
      </c>
      <c r="Y5" s="49">
        <f>+V5*0.1</f>
        <v>94.56</v>
      </c>
      <c r="Z5" s="49">
        <f t="shared" ref="Z5:Z13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3205.2</v>
      </c>
      <c r="R6" s="27">
        <v>225</v>
      </c>
      <c r="S6" s="26">
        <v>70</v>
      </c>
      <c r="T6" s="26"/>
      <c r="U6" s="28"/>
      <c r="V6" s="81">
        <f>C6-Q6-S6+U6-R6-T6+0.2</f>
        <v>1.819100425848319E-13</v>
      </c>
      <c r="W6" s="25">
        <f t="shared" si="4"/>
        <v>3205.2</v>
      </c>
      <c r="X6" s="40" t="s">
        <v>26</v>
      </c>
      <c r="Y6" s="49">
        <f t="shared" ref="Y6:Y13" si="6">+V6*0.1</f>
        <v>1.8191004258483192E-14</v>
      </c>
      <c r="Z6" s="49">
        <f t="shared" si="5"/>
        <v>1.9646284599161848E-14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3"/>
      <c r="U8" s="28"/>
      <c r="V8" s="24">
        <f t="shared" si="0"/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3354.4</v>
      </c>
      <c r="R10" s="27">
        <v>375</v>
      </c>
      <c r="S10" s="26">
        <v>140</v>
      </c>
      <c r="T10" s="26"/>
      <c r="U10" s="28"/>
      <c r="V10" s="100">
        <f>C10-Q10-S10+U10-R10-T10</f>
        <v>130.59999999999991</v>
      </c>
      <c r="W10" s="25">
        <f t="shared" si="4"/>
        <v>3485</v>
      </c>
      <c r="X10" s="40" t="s">
        <v>26</v>
      </c>
      <c r="Y10" s="49">
        <f t="shared" si="6"/>
        <v>13.059999999999992</v>
      </c>
      <c r="Z10" s="49">
        <f t="shared" si="5"/>
        <v>14.104799999999992</v>
      </c>
    </row>
    <row r="11" spans="1:27" ht="15.75" thickBot="1" x14ac:dyDescent="0.3">
      <c r="A11" s="50">
        <v>35</v>
      </c>
      <c r="B11" s="101" t="s">
        <v>38</v>
      </c>
      <c r="C11" s="52">
        <v>4000</v>
      </c>
      <c r="D11" s="53">
        <v>419.88</v>
      </c>
      <c r="E11" s="54">
        <f t="shared" si="1"/>
        <v>2519.2799999999997</v>
      </c>
      <c r="F11" s="102"/>
      <c r="G11" s="103"/>
      <c r="H11" s="103"/>
      <c r="I11" s="103"/>
      <c r="J11" s="103"/>
      <c r="K11" s="103"/>
      <c r="L11" s="57">
        <f t="shared" si="3"/>
        <v>2939.16</v>
      </c>
      <c r="M11" s="58"/>
      <c r="N11" s="59"/>
      <c r="O11" s="60"/>
      <c r="P11" s="60"/>
      <c r="Q11" s="61">
        <v>11429.4</v>
      </c>
      <c r="R11" s="62"/>
      <c r="S11" s="63"/>
      <c r="T11" s="63"/>
      <c r="U11" s="64"/>
      <c r="V11" s="65"/>
      <c r="W11" s="66">
        <f t="shared" si="4"/>
        <v>11429.4</v>
      </c>
      <c r="X11" s="67" t="s">
        <v>74</v>
      </c>
      <c r="Y11" s="68">
        <f t="shared" si="6"/>
        <v>0</v>
      </c>
      <c r="Z11" s="68">
        <f t="shared" si="5"/>
        <v>0</v>
      </c>
    </row>
    <row r="12" spans="1:27" ht="15.75" thickBot="1" x14ac:dyDescent="0.3">
      <c r="A12" s="42">
        <v>36</v>
      </c>
      <c r="B12" s="47" t="s">
        <v>45</v>
      </c>
      <c r="C12" s="44">
        <v>3354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3354.2</v>
      </c>
      <c r="R12" s="27"/>
      <c r="S12" s="26"/>
      <c r="T12" s="26"/>
      <c r="U12" s="28"/>
      <c r="V12" s="24"/>
      <c r="W12" s="25">
        <f t="shared" si="4"/>
        <v>3354.2</v>
      </c>
      <c r="X12" s="40" t="s">
        <v>73</v>
      </c>
      <c r="Y12" s="49">
        <f t="shared" si="6"/>
        <v>0</v>
      </c>
      <c r="Z12" s="49">
        <f t="shared" si="5"/>
        <v>0</v>
      </c>
    </row>
    <row r="13" spans="1:27" ht="15.75" thickBot="1" x14ac:dyDescent="0.3">
      <c r="A13" s="42">
        <v>37</v>
      </c>
      <c r="B13" s="47" t="s">
        <v>51</v>
      </c>
      <c r="C13" s="44">
        <v>5000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/>
      <c r="T13" s="23"/>
      <c r="U13" s="28"/>
      <c r="V13" s="24">
        <f t="shared" ref="V13" si="7">C13-Q13-S13+U13-R13-T13</f>
        <v>1645.6</v>
      </c>
      <c r="W13" s="25">
        <f t="shared" si="4"/>
        <v>5000</v>
      </c>
      <c r="X13" s="40" t="s">
        <v>26</v>
      </c>
      <c r="Y13" s="49">
        <f t="shared" si="6"/>
        <v>164.56</v>
      </c>
      <c r="Z13" s="49">
        <f t="shared" si="5"/>
        <v>177.72480000000002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8">SUM(E4:E5)</f>
        <v>5038.5599999999995</v>
      </c>
      <c r="F14" s="20">
        <f t="shared" si="8"/>
        <v>839.76</v>
      </c>
      <c r="G14" s="20">
        <f t="shared" si="8"/>
        <v>500</v>
      </c>
      <c r="H14" s="20">
        <f t="shared" si="8"/>
        <v>587.83199999999999</v>
      </c>
      <c r="I14" s="20">
        <f t="shared" si="8"/>
        <v>587.83199999999999</v>
      </c>
      <c r="J14" s="20">
        <f t="shared" si="8"/>
        <v>312.41000000000003</v>
      </c>
      <c r="K14" s="20">
        <f t="shared" si="8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 t="shared" ref="Q14:W14" si="9">SUM(Q4:Q13)</f>
        <v>39968.199999999997</v>
      </c>
      <c r="R14" s="20">
        <f t="shared" si="9"/>
        <v>975</v>
      </c>
      <c r="S14" s="20">
        <f t="shared" si="9"/>
        <v>350</v>
      </c>
      <c r="T14" s="20">
        <f t="shared" si="9"/>
        <v>2131.15</v>
      </c>
      <c r="U14" s="20">
        <f t="shared" si="9"/>
        <v>1680</v>
      </c>
      <c r="V14" s="20">
        <f t="shared" si="9"/>
        <v>5893.4500000000007</v>
      </c>
      <c r="W14" s="20">
        <f t="shared" si="9"/>
        <v>45861.65</v>
      </c>
      <c r="Y14" s="20">
        <f>SUM(Y4:Y13)</f>
        <v>589.34500000000003</v>
      </c>
      <c r="Z14" s="20">
        <f>SUM(Z4:Z13)</f>
        <v>636.49260000000004</v>
      </c>
      <c r="AA14" s="10">
        <f>SUM(Z14+W14)</f>
        <v>46498.142599999999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D16B5-89C4-4B97-AC17-950D68E43224}">
  <sheetPr>
    <pageSetUpPr fitToPage="1"/>
  </sheetPr>
  <dimension ref="A1:AA18"/>
  <sheetViews>
    <sheetView showGridLines="0" zoomScaleNormal="100" workbookViewId="0">
      <selection activeCell="B10" sqref="B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48">
        <f>580.09</f>
        <v>580.09</v>
      </c>
      <c r="U4" s="28">
        <v>1410</v>
      </c>
      <c r="V4" s="24">
        <f t="shared" ref="V4:V9" si="0">C4-Q4-S4+U4-R4-T4</f>
        <v>1555.71</v>
      </c>
      <c r="W4" s="25">
        <f>Q4+V4</f>
        <v>4329.91</v>
      </c>
      <c r="X4" s="40" t="s">
        <v>26</v>
      </c>
      <c r="Y4" s="49">
        <f>+V4*0.1</f>
        <v>155.57100000000003</v>
      </c>
      <c r="Z4" s="49">
        <f>+Y4*1.08</f>
        <v>168.01668000000004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f>700</f>
        <v>700</v>
      </c>
      <c r="U5" s="28"/>
      <c r="V5" s="24">
        <f t="shared" si="0"/>
        <v>945.80000000000018</v>
      </c>
      <c r="W5" s="25">
        <f t="shared" ref="W5:W13" si="4">Q5+V5</f>
        <v>4300</v>
      </c>
      <c r="X5" s="40">
        <v>2</v>
      </c>
      <c r="Y5" s="49">
        <f>+V5*0.1</f>
        <v>94.580000000000027</v>
      </c>
      <c r="Z5" s="49">
        <f t="shared" ref="Z5:Z13" si="5">+Y5*1.08</f>
        <v>102.14640000000004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3354.2</v>
      </c>
      <c r="R6" s="27"/>
      <c r="S6" s="26">
        <v>70</v>
      </c>
      <c r="T6" s="26"/>
      <c r="U6" s="28"/>
      <c r="V6" s="81">
        <f>C6-Q6-S6+U6-R6-T6+0.2</f>
        <v>76.000000000000185</v>
      </c>
      <c r="W6" s="25">
        <f t="shared" si="4"/>
        <v>3430.2</v>
      </c>
      <c r="X6" s="40" t="s">
        <v>26</v>
      </c>
      <c r="Y6" s="49">
        <f t="shared" ref="Y6:Y13" si="6">+V6*0.1</f>
        <v>7.6000000000000192</v>
      </c>
      <c r="Z6" s="49">
        <f t="shared" si="5"/>
        <v>8.2080000000000215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/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140</v>
      </c>
      <c r="T8" s="23"/>
      <c r="U8" s="28"/>
      <c r="V8" s="24">
        <f t="shared" si="0"/>
        <v>1130.8000000000002</v>
      </c>
      <c r="W8" s="25">
        <f t="shared" si="4"/>
        <v>4485</v>
      </c>
      <c r="X8" s="40" t="s">
        <v>26</v>
      </c>
      <c r="Y8" s="49">
        <f t="shared" si="6"/>
        <v>113.08000000000003</v>
      </c>
      <c r="Z8" s="49">
        <f t="shared" si="5"/>
        <v>122.12640000000003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2601.1999999999998</v>
      </c>
      <c r="R10" s="27"/>
      <c r="S10" s="26"/>
      <c r="T10" s="26">
        <v>1333.33</v>
      </c>
      <c r="U10" s="28"/>
      <c r="V10" s="100">
        <f>C10-Q10-S10+U10-R10-T10</f>
        <v>65.470000000000255</v>
      </c>
      <c r="W10" s="25">
        <f t="shared" si="4"/>
        <v>2666.67</v>
      </c>
      <c r="X10" s="40" t="s">
        <v>26</v>
      </c>
      <c r="Y10" s="49">
        <f t="shared" si="6"/>
        <v>6.5470000000000255</v>
      </c>
      <c r="Z10" s="49">
        <f t="shared" si="5"/>
        <v>7.0707600000000284</v>
      </c>
    </row>
    <row r="11" spans="1:27" ht="15.75" thickBot="1" x14ac:dyDescent="0.3">
      <c r="A11" s="42">
        <v>36</v>
      </c>
      <c r="B11" s="47" t="s">
        <v>45</v>
      </c>
      <c r="C11" s="44">
        <v>3354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/>
      <c r="S11" s="26"/>
      <c r="T11" s="26"/>
      <c r="U11" s="28"/>
      <c r="V11" s="24"/>
      <c r="W11" s="25">
        <f t="shared" si="4"/>
        <v>3354.4</v>
      </c>
      <c r="X11" s="40" t="s">
        <v>73</v>
      </c>
      <c r="Y11" s="49">
        <f t="shared" si="6"/>
        <v>0</v>
      </c>
      <c r="Z11" s="49">
        <f t="shared" si="5"/>
        <v>0</v>
      </c>
    </row>
    <row r="12" spans="1:27" ht="15.75" thickBot="1" x14ac:dyDescent="0.3">
      <c r="A12" s="42">
        <v>37</v>
      </c>
      <c r="B12" s="47" t="s">
        <v>51</v>
      </c>
      <c r="C12" s="44">
        <v>5000</v>
      </c>
      <c r="D12" s="6">
        <v>419.88</v>
      </c>
      <c r="E12" s="7">
        <f t="shared" ref="E12" si="7">D12*6</f>
        <v>2519.2799999999997</v>
      </c>
      <c r="F12" s="21"/>
      <c r="G12" s="22"/>
      <c r="H12" s="22"/>
      <c r="I12" s="22"/>
      <c r="J12" s="22"/>
      <c r="K12" s="22"/>
      <c r="L12" s="34">
        <f t="shared" ref="L12" si="8">+E12+D12</f>
        <v>2939.16</v>
      </c>
      <c r="M12" s="30"/>
      <c r="N12" s="15"/>
      <c r="O12" s="14"/>
      <c r="P12" s="14"/>
      <c r="Q12" s="19">
        <v>3354.2</v>
      </c>
      <c r="R12" s="27"/>
      <c r="S12" s="26"/>
      <c r="T12" s="23"/>
      <c r="U12" s="28"/>
      <c r="V12" s="24">
        <f t="shared" ref="V12" si="9">C12-Q12-S12+U12-R12-T12</f>
        <v>1645.8000000000002</v>
      </c>
      <c r="W12" s="25">
        <f t="shared" ref="W12" si="10">Q12+V12</f>
        <v>5000</v>
      </c>
      <c r="X12" s="40" t="s">
        <v>26</v>
      </c>
      <c r="Y12" s="49">
        <f t="shared" ref="Y12" si="11">+V12*0.1</f>
        <v>164.58000000000004</v>
      </c>
      <c r="Z12" s="49">
        <f t="shared" ref="Z12" si="12">+Y12*1.08</f>
        <v>177.74640000000005</v>
      </c>
    </row>
    <row r="13" spans="1:27" ht="15.75" thickBot="1" x14ac:dyDescent="0.3">
      <c r="A13" s="42">
        <v>39</v>
      </c>
      <c r="B13" s="47" t="s">
        <v>95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2733.2</v>
      </c>
      <c r="R13" s="27"/>
      <c r="S13" s="26"/>
      <c r="T13" s="48">
        <f>551.81+700</f>
        <v>1251.81</v>
      </c>
      <c r="U13" s="28"/>
      <c r="V13" s="24">
        <f t="shared" ref="V13" si="13">C13-Q13-S13+U13-R13-T13</f>
        <v>14.990000000000236</v>
      </c>
      <c r="W13" s="25">
        <f t="shared" si="4"/>
        <v>2748.19</v>
      </c>
      <c r="X13" s="40" t="s">
        <v>26</v>
      </c>
      <c r="Y13" s="49">
        <f t="shared" si="6"/>
        <v>1.4990000000000236</v>
      </c>
      <c r="Z13" s="49">
        <f t="shared" si="5"/>
        <v>1.6189200000000257</v>
      </c>
    </row>
    <row r="14" spans="1:27" ht="15.75" thickBot="1" x14ac:dyDescent="0.3">
      <c r="A14" s="36"/>
      <c r="B14" s="37"/>
      <c r="C14" s="38">
        <f>SUM(C4:C13)</f>
        <v>40208</v>
      </c>
      <c r="D14" s="35">
        <f>SUM(D4:D13)</f>
        <v>4198.8</v>
      </c>
      <c r="E14" s="20">
        <f t="shared" ref="E14:K14" si="14">SUM(E4:E5)</f>
        <v>5038.5599999999995</v>
      </c>
      <c r="F14" s="20">
        <f t="shared" si="14"/>
        <v>839.76</v>
      </c>
      <c r="G14" s="20">
        <f t="shared" si="14"/>
        <v>500</v>
      </c>
      <c r="H14" s="20">
        <f t="shared" si="14"/>
        <v>587.83199999999999</v>
      </c>
      <c r="I14" s="20">
        <f t="shared" si="14"/>
        <v>587.83199999999999</v>
      </c>
      <c r="J14" s="20">
        <f t="shared" si="14"/>
        <v>312.41000000000003</v>
      </c>
      <c r="K14" s="20">
        <f t="shared" si="14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30667.200000000001</v>
      </c>
      <c r="R14" s="20">
        <f t="shared" ref="R14:W14" si="15">SUM(R4:R13)</f>
        <v>375</v>
      </c>
      <c r="S14" s="20">
        <f t="shared" si="15"/>
        <v>210</v>
      </c>
      <c r="T14" s="20">
        <f t="shared" si="15"/>
        <v>4716.29</v>
      </c>
      <c r="U14" s="20">
        <f t="shared" si="15"/>
        <v>1410</v>
      </c>
      <c r="V14" s="20">
        <f t="shared" si="15"/>
        <v>5650.1100000000006</v>
      </c>
      <c r="W14" s="20">
        <f t="shared" si="15"/>
        <v>36317.310000000005</v>
      </c>
      <c r="Y14" s="20">
        <f>SUM(Y4:Y13)</f>
        <v>565.01100000000019</v>
      </c>
      <c r="Z14" s="20">
        <f>SUM(Z4:Z13)</f>
        <v>610.21188000000018</v>
      </c>
      <c r="AA14" s="10">
        <f>SUM(Z14+W14)</f>
        <v>36927.521880000008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2" x14ac:dyDescent="0.25">
      <c r="R17" s="10"/>
      <c r="U17" s="10"/>
    </row>
    <row r="18" spans="12:22" ht="17.25" x14ac:dyDescent="0.3">
      <c r="L18" s="17"/>
      <c r="O18" s="10"/>
      <c r="P18" s="10"/>
      <c r="Q18" s="10"/>
      <c r="V18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D7E3F-A988-40B7-B0C1-68D1065197F2}">
  <sheetPr>
    <pageSetUpPr fitToPage="1"/>
  </sheetPr>
  <dimension ref="A1:AA20"/>
  <sheetViews>
    <sheetView showGridLines="0" zoomScaleNormal="100" workbookViewId="0">
      <selection activeCell="R6" sqref="R6:S8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3"/>
      <c r="S4" s="23"/>
      <c r="T4" s="48">
        <f>580.09</f>
        <v>580.09</v>
      </c>
      <c r="U4" s="28">
        <v>1500</v>
      </c>
      <c r="V4" s="24">
        <f t="shared" ref="V4:V9" si="0">C4-Q4-S4+U4-R4-T4</f>
        <v>1645.71</v>
      </c>
      <c r="W4" s="25">
        <f>Q4+V4</f>
        <v>4419.91</v>
      </c>
      <c r="X4" s="40" t="s">
        <v>26</v>
      </c>
      <c r="Y4" s="49">
        <f>+V4*0.1</f>
        <v>164.57100000000003</v>
      </c>
      <c r="Z4" s="49">
        <f>+Y4*1.08</f>
        <v>177.73668000000004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5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5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5" si="4">Q5+V5</f>
        <v>4300</v>
      </c>
      <c r="X5" s="40">
        <v>2</v>
      </c>
      <c r="Y5" s="49">
        <f>+V5*0.1</f>
        <v>94.56</v>
      </c>
      <c r="Z5" s="49">
        <f t="shared" ref="Z5:Z15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4443.6000000000004</v>
      </c>
      <c r="R6" s="27">
        <v>75</v>
      </c>
      <c r="S6" s="26">
        <v>35</v>
      </c>
      <c r="T6" s="26"/>
      <c r="U6" s="28">
        <v>1625</v>
      </c>
      <c r="V6" s="81">
        <f>C6-Q6-S6+U6-R6-T6</f>
        <v>571.39999999999964</v>
      </c>
      <c r="W6" s="25">
        <f t="shared" si="4"/>
        <v>5015</v>
      </c>
      <c r="X6" s="40" t="s">
        <v>26</v>
      </c>
      <c r="Y6" s="49">
        <f t="shared" ref="Y6:Y15" si="6">+V6*0.1</f>
        <v>57.139999999999965</v>
      </c>
      <c r="Z6" s="49">
        <f t="shared" si="5"/>
        <v>61.71119999999997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3"/>
      <c r="U8" s="28"/>
      <c r="V8" s="24">
        <f>C8-Q8-S8+U8-R8-T8</f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2443.4</v>
      </c>
      <c r="R10" s="27">
        <v>375</v>
      </c>
      <c r="S10" s="26"/>
      <c r="T10" s="26">
        <f>515+666.67</f>
        <v>1181.67</v>
      </c>
      <c r="U10" s="28"/>
      <c r="V10" s="100">
        <f>C10-Q10-S10+U10-R10-T10+0.07</f>
        <v>-1.6370238498097933E-13</v>
      </c>
      <c r="W10" s="25">
        <f t="shared" si="4"/>
        <v>2443.4</v>
      </c>
      <c r="X10" s="40" t="s">
        <v>26</v>
      </c>
      <c r="Y10" s="49">
        <f t="shared" si="6"/>
        <v>-1.6370238498097935E-14</v>
      </c>
      <c r="Z10" s="49">
        <f t="shared" si="5"/>
        <v>-1.7679857577945772E-14</v>
      </c>
    </row>
    <row r="11" spans="1:27" ht="15.75" thickBot="1" x14ac:dyDescent="0.3">
      <c r="A11" s="42">
        <v>36</v>
      </c>
      <c r="B11" s="47" t="s">
        <v>45</v>
      </c>
      <c r="C11" s="44">
        <v>3354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/>
      <c r="S11" s="26"/>
      <c r="T11" s="26"/>
      <c r="U11" s="28"/>
      <c r="V11" s="24"/>
      <c r="W11" s="25">
        <f t="shared" si="4"/>
        <v>3354.2</v>
      </c>
      <c r="X11" s="40" t="s">
        <v>73</v>
      </c>
      <c r="Y11" s="49">
        <f t="shared" si="6"/>
        <v>0</v>
      </c>
      <c r="Z11" s="49">
        <f t="shared" si="5"/>
        <v>0</v>
      </c>
    </row>
    <row r="12" spans="1:27" ht="15.75" thickBot="1" x14ac:dyDescent="0.3">
      <c r="A12" s="42">
        <v>37</v>
      </c>
      <c r="B12" s="47" t="s">
        <v>51</v>
      </c>
      <c r="C12" s="44">
        <v>5000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3"/>
      <c r="U12" s="28"/>
      <c r="V12" s="24">
        <f t="shared" ref="V12:V14" si="7">C12-Q12-S12+U12-R12-T12</f>
        <v>1645.6</v>
      </c>
      <c r="W12" s="25">
        <f t="shared" si="4"/>
        <v>5000</v>
      </c>
      <c r="X12" s="40" t="s">
        <v>26</v>
      </c>
      <c r="Y12" s="49">
        <f t="shared" si="6"/>
        <v>164.56</v>
      </c>
      <c r="Z12" s="49">
        <f t="shared" si="5"/>
        <v>177.72480000000002</v>
      </c>
    </row>
    <row r="13" spans="1:27" ht="15.75" thickBot="1" x14ac:dyDescent="0.3">
      <c r="A13" s="42">
        <v>39</v>
      </c>
      <c r="B13" s="47" t="s">
        <v>95</v>
      </c>
      <c r="C13" s="44">
        <v>4000</v>
      </c>
      <c r="D13" s="6">
        <v>419.88</v>
      </c>
      <c r="E13" s="7">
        <f t="shared" ref="E13" si="8">D13*6</f>
        <v>2519.2799999999997</v>
      </c>
      <c r="F13" s="21"/>
      <c r="G13" s="22"/>
      <c r="H13" s="22"/>
      <c r="I13" s="22"/>
      <c r="J13" s="22"/>
      <c r="K13" s="22"/>
      <c r="L13" s="34">
        <f t="shared" ref="L13" si="9">+E13+D13</f>
        <v>2939.16</v>
      </c>
      <c r="M13" s="30"/>
      <c r="N13" s="15"/>
      <c r="O13" s="14"/>
      <c r="P13" s="14"/>
      <c r="Q13" s="19">
        <v>2748.4</v>
      </c>
      <c r="R13" s="27"/>
      <c r="S13" s="26"/>
      <c r="T13" s="48">
        <f>551.81+700</f>
        <v>1251.81</v>
      </c>
      <c r="U13" s="28"/>
      <c r="V13" s="24">
        <f>C13-Q13-S13+U13-R13-T13+0.01+0.2</f>
        <v>-3.6359804056473877E-14</v>
      </c>
      <c r="W13" s="25">
        <f t="shared" si="4"/>
        <v>2748.4</v>
      </c>
      <c r="X13" s="40" t="s">
        <v>26</v>
      </c>
      <c r="Y13" s="49">
        <f t="shared" ref="Y13" si="10">+V13*0.1</f>
        <v>-3.6359804056473877E-15</v>
      </c>
      <c r="Z13" s="49">
        <f t="shared" ref="Z13" si="11">+Y13*1.08</f>
        <v>-3.9268588380991792E-15</v>
      </c>
    </row>
    <row r="14" spans="1:27" ht="15.75" thickBot="1" x14ac:dyDescent="0.3">
      <c r="A14" s="42">
        <v>40</v>
      </c>
      <c r="B14" s="47" t="s">
        <v>97</v>
      </c>
      <c r="C14" s="44">
        <v>3500</v>
      </c>
      <c r="D14" s="6">
        <v>419.88</v>
      </c>
      <c r="E14" s="7"/>
      <c r="F14" s="21"/>
      <c r="G14" s="22"/>
      <c r="H14" s="22"/>
      <c r="I14" s="22"/>
      <c r="J14" s="22"/>
      <c r="K14" s="22"/>
      <c r="L14" s="34"/>
      <c r="M14" s="30"/>
      <c r="N14" s="15"/>
      <c r="O14" s="14"/>
      <c r="P14" s="14"/>
      <c r="Q14" s="19">
        <v>3354.4</v>
      </c>
      <c r="R14" s="27"/>
      <c r="S14" s="26"/>
      <c r="T14" s="23"/>
      <c r="U14" s="28"/>
      <c r="V14" s="24">
        <f t="shared" si="7"/>
        <v>145.59999999999991</v>
      </c>
      <c r="W14" s="25">
        <f t="shared" si="4"/>
        <v>3500</v>
      </c>
      <c r="X14" s="40"/>
      <c r="Y14" s="49">
        <f t="shared" ref="Y14" si="12">+V14*0.1</f>
        <v>14.559999999999992</v>
      </c>
      <c r="Z14" s="49">
        <f t="shared" ref="Z14" si="13">+Y14*1.08</f>
        <v>15.724799999999991</v>
      </c>
    </row>
    <row r="15" spans="1:27" ht="15.75" thickBot="1" x14ac:dyDescent="0.3">
      <c r="A15" s="42">
        <v>41</v>
      </c>
      <c r="B15" s="47" t="s">
        <v>98</v>
      </c>
      <c r="C15" s="44">
        <v>4000</v>
      </c>
      <c r="D15" s="6">
        <v>419.88</v>
      </c>
      <c r="E15" s="7">
        <f t="shared" si="1"/>
        <v>2519.2799999999997</v>
      </c>
      <c r="F15" s="21"/>
      <c r="G15" s="22"/>
      <c r="H15" s="22"/>
      <c r="I15" s="22"/>
      <c r="J15" s="22"/>
      <c r="K15" s="22"/>
      <c r="L15" s="34">
        <f t="shared" si="3"/>
        <v>2939.16</v>
      </c>
      <c r="M15" s="30"/>
      <c r="N15" s="15"/>
      <c r="O15" s="14"/>
      <c r="P15" s="14"/>
      <c r="Q15" s="19">
        <v>2706.2</v>
      </c>
      <c r="R15" s="27"/>
      <c r="S15" s="26"/>
      <c r="T15" s="26">
        <v>1142.8499999999999</v>
      </c>
      <c r="U15" s="28"/>
      <c r="V15" s="24">
        <f>C15-Q15-S15+U15-R15-T15</f>
        <v>150.95000000000027</v>
      </c>
      <c r="W15" s="25">
        <f t="shared" si="4"/>
        <v>2857.15</v>
      </c>
      <c r="X15" s="40" t="s">
        <v>26</v>
      </c>
      <c r="Y15" s="49">
        <f t="shared" si="6"/>
        <v>15.095000000000027</v>
      </c>
      <c r="Z15" s="49">
        <f t="shared" si="5"/>
        <v>16.30260000000003</v>
      </c>
    </row>
    <row r="16" spans="1:27" ht="15.75" thickBot="1" x14ac:dyDescent="0.3">
      <c r="A16" s="36"/>
      <c r="B16" s="37"/>
      <c r="C16" s="38">
        <f>SUM(C4:C15)</f>
        <v>47708</v>
      </c>
      <c r="D16" s="35">
        <f>SUM(D4:D15)</f>
        <v>5038.5600000000004</v>
      </c>
      <c r="E16" s="20">
        <f t="shared" ref="E16:K16" si="14">SUM(E4:E5)</f>
        <v>5038.5599999999995</v>
      </c>
      <c r="F16" s="20">
        <f t="shared" si="14"/>
        <v>839.76</v>
      </c>
      <c r="G16" s="20">
        <f t="shared" si="14"/>
        <v>500</v>
      </c>
      <c r="H16" s="20">
        <f t="shared" si="14"/>
        <v>587.83199999999999</v>
      </c>
      <c r="I16" s="20">
        <f t="shared" si="14"/>
        <v>587.83199999999999</v>
      </c>
      <c r="J16" s="20">
        <f t="shared" si="14"/>
        <v>312.41000000000003</v>
      </c>
      <c r="K16" s="20">
        <f t="shared" si="14"/>
        <v>78.11</v>
      </c>
      <c r="L16" s="35">
        <f>SUM(L4:L15)</f>
        <v>32330.76</v>
      </c>
      <c r="M16" s="20">
        <f>SUM(M4:M5)</f>
        <v>0</v>
      </c>
      <c r="N16" s="20">
        <f>SUM(N4:N5)</f>
        <v>0</v>
      </c>
      <c r="O16" s="20">
        <f>SUM(O4:O5)</f>
        <v>399.93</v>
      </c>
      <c r="P16" s="20">
        <f>SUM(P4:P5)</f>
        <v>0.06</v>
      </c>
      <c r="Q16" s="20">
        <f>SUM(Q4:Q15)</f>
        <v>37675.200000000004</v>
      </c>
      <c r="R16" s="20">
        <f t="shared" ref="R16:W16" si="15">SUM(R4:R15)</f>
        <v>825</v>
      </c>
      <c r="S16" s="20">
        <f t="shared" si="15"/>
        <v>175</v>
      </c>
      <c r="T16" s="20">
        <f t="shared" si="15"/>
        <v>5707.48</v>
      </c>
      <c r="U16" s="20">
        <f t="shared" si="15"/>
        <v>3125</v>
      </c>
      <c r="V16" s="20">
        <f t="shared" si="15"/>
        <v>6450.8000000000011</v>
      </c>
      <c r="W16" s="20">
        <f t="shared" si="15"/>
        <v>44126</v>
      </c>
      <c r="Y16" s="20">
        <f>SUM(Y4:Y15)</f>
        <v>645.08000000000004</v>
      </c>
      <c r="Z16" s="20">
        <f>SUM(Z4:Z15)</f>
        <v>696.68640000000005</v>
      </c>
      <c r="AA16" s="10">
        <f>SUM(Z16+W16)</f>
        <v>44822.686399999999</v>
      </c>
    </row>
    <row r="17" spans="1:26" ht="17.25" x14ac:dyDescent="0.3">
      <c r="A17" s="16"/>
      <c r="B17" s="17"/>
      <c r="G17" s="17"/>
      <c r="H17" s="17"/>
      <c r="I17" s="17"/>
      <c r="J17" s="17"/>
      <c r="K17" s="17"/>
      <c r="M17" s="17"/>
      <c r="N17" s="17"/>
      <c r="O17" s="17"/>
      <c r="P17" s="17"/>
      <c r="Q17" s="41"/>
      <c r="R17" s="17"/>
      <c r="S17" s="17"/>
      <c r="T17" s="17"/>
      <c r="U17" s="17"/>
      <c r="V17" s="17"/>
      <c r="W17" s="18"/>
      <c r="Y17" s="18"/>
      <c r="Z17" s="18"/>
    </row>
    <row r="18" spans="1:26" x14ac:dyDescent="0.25">
      <c r="C18" s="10"/>
    </row>
    <row r="19" spans="1:26" x14ac:dyDescent="0.25">
      <c r="R19" s="10"/>
      <c r="U19" s="10"/>
    </row>
    <row r="20" spans="1:26" ht="17.25" x14ac:dyDescent="0.3">
      <c r="L20" s="17"/>
      <c r="O20" s="10"/>
      <c r="P20" s="10"/>
      <c r="Q20" s="10"/>
      <c r="V20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9393A-739F-45C9-B474-CA54C3FD747E}">
  <sheetPr>
    <pageSetUpPr fitToPage="1"/>
  </sheetPr>
  <dimension ref="A1:AA20"/>
  <sheetViews>
    <sheetView showGridLines="0" topLeftCell="B1" zoomScaleNormal="100" workbookViewId="0">
      <selection activeCell="D16" sqref="D16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99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2774.4</v>
      </c>
      <c r="R4" s="23"/>
      <c r="S4" s="23"/>
      <c r="T4" s="48">
        <f>580.09</f>
        <v>580.09</v>
      </c>
      <c r="U4" s="28">
        <v>1580</v>
      </c>
      <c r="V4" s="24">
        <f t="shared" ref="V4:V9" si="0">C4-Q4-S4+U4-R4-T4</f>
        <v>1725.5099999999998</v>
      </c>
      <c r="W4" s="25">
        <f>Q4+V4</f>
        <v>4499.91</v>
      </c>
      <c r="X4" s="40" t="s">
        <v>26</v>
      </c>
      <c r="Y4" s="49">
        <f>+V4*0.1</f>
        <v>172.55099999999999</v>
      </c>
      <c r="Z4" s="49">
        <f>+Y4*1.08</f>
        <v>186.35507999999999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5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5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5" si="4">Q5+V5</f>
        <v>4300</v>
      </c>
      <c r="X5" s="40">
        <v>2</v>
      </c>
      <c r="Y5" s="49">
        <f>+V5*0.1</f>
        <v>94.56</v>
      </c>
      <c r="Z5" s="49">
        <f t="shared" ref="Z5:Z15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2275.1999999999998</v>
      </c>
      <c r="R6" s="27">
        <v>225</v>
      </c>
      <c r="S6" s="26"/>
      <c r="T6" s="26">
        <v>1000</v>
      </c>
      <c r="U6" s="28"/>
      <c r="V6" s="81">
        <f>C6-Q6-S6+U6-R6-T6+0.2</f>
        <v>1.819100425848319E-13</v>
      </c>
      <c r="W6" s="25">
        <f t="shared" si="4"/>
        <v>2275.1999999999998</v>
      </c>
      <c r="X6" s="40" t="s">
        <v>26</v>
      </c>
      <c r="Y6" s="49">
        <f t="shared" ref="Y6:Y15" si="6">+V6*0.1</f>
        <v>1.8191004258483192E-14</v>
      </c>
      <c r="Z6" s="49">
        <f t="shared" si="5"/>
        <v>1.9646284599161848E-14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/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/>
      <c r="T8" s="23"/>
      <c r="U8" s="28"/>
      <c r="V8" s="24">
        <f>C8-Q8-S8+U8-R8-T8</f>
        <v>1345.8000000000002</v>
      </c>
      <c r="W8" s="25">
        <f t="shared" si="4"/>
        <v>4700</v>
      </c>
      <c r="X8" s="40" t="s">
        <v>26</v>
      </c>
      <c r="Y8" s="49">
        <f t="shared" si="6"/>
        <v>134.58000000000001</v>
      </c>
      <c r="Z8" s="49">
        <f t="shared" si="5"/>
        <v>145.34640000000002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2683</v>
      </c>
      <c r="R9" s="27"/>
      <c r="S9" s="26"/>
      <c r="T9" s="48">
        <v>586.25</v>
      </c>
      <c r="U9" s="28"/>
      <c r="V9" s="24">
        <f t="shared" si="0"/>
        <v>84.75</v>
      </c>
      <c r="W9" s="25">
        <f t="shared" si="4"/>
        <v>2767.75</v>
      </c>
      <c r="X9" s="40" t="s">
        <v>35</v>
      </c>
      <c r="Y9" s="49">
        <f t="shared" si="6"/>
        <v>8.4749999999999996</v>
      </c>
      <c r="Z9" s="49">
        <f t="shared" si="5"/>
        <v>9.1530000000000005</v>
      </c>
    </row>
    <row r="10" spans="1:27" ht="15.75" thickBot="1" x14ac:dyDescent="0.3">
      <c r="A10" s="42">
        <v>34</v>
      </c>
      <c r="B10" s="47" t="s">
        <v>37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27000</v>
      </c>
      <c r="R10" s="27">
        <v>300</v>
      </c>
      <c r="S10" s="26"/>
      <c r="T10" s="26"/>
      <c r="U10" s="28">
        <v>285.70999999999998</v>
      </c>
      <c r="V10" s="100"/>
      <c r="W10" s="25">
        <f t="shared" si="4"/>
        <v>27000</v>
      </c>
      <c r="X10" s="40" t="s">
        <v>26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36</v>
      </c>
      <c r="B11" s="47" t="s">
        <v>45</v>
      </c>
      <c r="C11" s="44">
        <v>3354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/>
      <c r="S11" s="26"/>
      <c r="T11" s="26"/>
      <c r="U11" s="28"/>
      <c r="V11" s="24"/>
      <c r="W11" s="25">
        <f t="shared" si="4"/>
        <v>3354.4</v>
      </c>
      <c r="X11" s="40" t="s">
        <v>73</v>
      </c>
      <c r="Y11" s="49">
        <f t="shared" si="6"/>
        <v>0</v>
      </c>
      <c r="Z11" s="49">
        <f t="shared" si="5"/>
        <v>0</v>
      </c>
    </row>
    <row r="12" spans="1:27" ht="15.75" thickBot="1" x14ac:dyDescent="0.3">
      <c r="A12" s="42">
        <v>37</v>
      </c>
      <c r="B12" s="47" t="s">
        <v>51</v>
      </c>
      <c r="C12" s="44">
        <v>5000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3354.4</v>
      </c>
      <c r="R12" s="27"/>
      <c r="S12" s="26"/>
      <c r="T12" s="23"/>
      <c r="U12" s="28"/>
      <c r="V12" s="24">
        <f t="shared" ref="V12:V14" si="7">C12-Q12-S12+U12-R12-T12</f>
        <v>1645.6</v>
      </c>
      <c r="W12" s="25">
        <f t="shared" si="4"/>
        <v>5000</v>
      </c>
      <c r="X12" s="40" t="s">
        <v>26</v>
      </c>
      <c r="Y12" s="49">
        <f t="shared" si="6"/>
        <v>164.56</v>
      </c>
      <c r="Z12" s="49">
        <f t="shared" si="5"/>
        <v>177.72480000000002</v>
      </c>
    </row>
    <row r="13" spans="1:27" ht="15.75" thickBot="1" x14ac:dyDescent="0.3">
      <c r="A13" s="42">
        <v>39</v>
      </c>
      <c r="B13" s="47" t="s">
        <v>95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2748.2</v>
      </c>
      <c r="R13" s="27"/>
      <c r="S13" s="26"/>
      <c r="T13" s="48">
        <f>551.81+700</f>
        <v>1251.81</v>
      </c>
      <c r="U13" s="28"/>
      <c r="V13" s="24">
        <f>C13-Q13-S13+U13-R13-T13+0.01</f>
        <v>2.3646883062777846E-13</v>
      </c>
      <c r="W13" s="25">
        <f t="shared" si="4"/>
        <v>2748.2000000000003</v>
      </c>
      <c r="X13" s="40" t="s">
        <v>26</v>
      </c>
      <c r="Y13" s="49">
        <f t="shared" si="6"/>
        <v>2.3646883062777846E-14</v>
      </c>
      <c r="Z13" s="49">
        <f t="shared" si="5"/>
        <v>2.5538633707800074E-14</v>
      </c>
    </row>
    <row r="14" spans="1:27" ht="15.75" thickBot="1" x14ac:dyDescent="0.3">
      <c r="A14" s="42">
        <v>40</v>
      </c>
      <c r="B14" s="47" t="s">
        <v>97</v>
      </c>
      <c r="C14" s="44">
        <v>3500</v>
      </c>
      <c r="D14" s="6">
        <v>419.88</v>
      </c>
      <c r="E14" s="7"/>
      <c r="F14" s="21"/>
      <c r="G14" s="22"/>
      <c r="H14" s="22"/>
      <c r="I14" s="22"/>
      <c r="J14" s="22"/>
      <c r="K14" s="22"/>
      <c r="L14" s="34"/>
      <c r="M14" s="30"/>
      <c r="N14" s="15"/>
      <c r="O14" s="14"/>
      <c r="P14" s="14"/>
      <c r="Q14" s="19">
        <v>3354.2</v>
      </c>
      <c r="R14" s="27"/>
      <c r="S14" s="26"/>
      <c r="T14" s="23"/>
      <c r="U14" s="28"/>
      <c r="V14" s="24">
        <f t="shared" si="7"/>
        <v>145.80000000000018</v>
      </c>
      <c r="W14" s="25">
        <f t="shared" si="4"/>
        <v>3500</v>
      </c>
      <c r="X14" s="40"/>
      <c r="Y14" s="49">
        <f t="shared" si="6"/>
        <v>14.58000000000002</v>
      </c>
      <c r="Z14" s="49">
        <f t="shared" si="5"/>
        <v>15.746400000000023</v>
      </c>
    </row>
    <row r="15" spans="1:27" ht="15.75" thickBot="1" x14ac:dyDescent="0.3">
      <c r="A15" s="42">
        <v>41</v>
      </c>
      <c r="B15" s="47" t="s">
        <v>98</v>
      </c>
      <c r="C15" s="44">
        <v>4000</v>
      </c>
      <c r="D15" s="6">
        <v>419.88</v>
      </c>
      <c r="E15" s="7">
        <f t="shared" si="1"/>
        <v>2519.2799999999997</v>
      </c>
      <c r="F15" s="21"/>
      <c r="G15" s="22"/>
      <c r="H15" s="22"/>
      <c r="I15" s="22"/>
      <c r="J15" s="22"/>
      <c r="K15" s="22"/>
      <c r="L15" s="34">
        <f t="shared" si="3"/>
        <v>2939.16</v>
      </c>
      <c r="M15" s="30"/>
      <c r="N15" s="15"/>
      <c r="O15" s="14"/>
      <c r="P15" s="14"/>
      <c r="Q15" s="19">
        <v>3459.4</v>
      </c>
      <c r="R15" s="27"/>
      <c r="S15" s="26"/>
      <c r="T15" s="28"/>
      <c r="U15" s="28"/>
      <c r="V15" s="24">
        <f>C15-Q15-S15+U15-R15-T15</f>
        <v>540.59999999999991</v>
      </c>
      <c r="W15" s="25">
        <f t="shared" si="4"/>
        <v>4000</v>
      </c>
      <c r="X15" s="40" t="s">
        <v>26</v>
      </c>
      <c r="Y15" s="49">
        <f t="shared" si="6"/>
        <v>54.059999999999995</v>
      </c>
      <c r="Z15" s="49">
        <f t="shared" si="5"/>
        <v>58.384799999999998</v>
      </c>
    </row>
    <row r="16" spans="1:27" ht="15.75" thickBot="1" x14ac:dyDescent="0.3">
      <c r="A16" s="36"/>
      <c r="B16" s="37"/>
      <c r="C16" s="38">
        <f>SUM(C4:C15)</f>
        <v>47708</v>
      </c>
      <c r="D16" s="35">
        <f>SUM(D4:D15)</f>
        <v>5038.5600000000004</v>
      </c>
      <c r="E16" s="20">
        <f t="shared" ref="E16:K16" si="8">SUM(E4:E5)</f>
        <v>5038.5599999999995</v>
      </c>
      <c r="F16" s="20">
        <f t="shared" si="8"/>
        <v>839.76</v>
      </c>
      <c r="G16" s="20">
        <f t="shared" si="8"/>
        <v>500</v>
      </c>
      <c r="H16" s="20">
        <f t="shared" si="8"/>
        <v>587.83199999999999</v>
      </c>
      <c r="I16" s="20">
        <f t="shared" si="8"/>
        <v>587.83199999999999</v>
      </c>
      <c r="J16" s="20">
        <f t="shared" si="8"/>
        <v>312.41000000000003</v>
      </c>
      <c r="K16" s="20">
        <f t="shared" si="8"/>
        <v>78.11</v>
      </c>
      <c r="L16" s="35">
        <f>SUM(L4:L15)</f>
        <v>32330.76</v>
      </c>
      <c r="M16" s="20">
        <f>SUM(M4:M5)</f>
        <v>0</v>
      </c>
      <c r="N16" s="20">
        <f>SUM(N4:N5)</f>
        <v>0</v>
      </c>
      <c r="O16" s="20">
        <f>SUM(O4:O5)</f>
        <v>399.93</v>
      </c>
      <c r="P16" s="20">
        <f>SUM(P4:P5)</f>
        <v>0.06</v>
      </c>
      <c r="Q16" s="20">
        <f>SUM(Q4:Q15)</f>
        <v>60801.2</v>
      </c>
      <c r="R16" s="20">
        <f t="shared" ref="R16:W16" si="9">SUM(R4:R15)</f>
        <v>825</v>
      </c>
      <c r="S16" s="20">
        <f t="shared" si="9"/>
        <v>0</v>
      </c>
      <c r="T16" s="20">
        <f t="shared" si="9"/>
        <v>4382.96</v>
      </c>
      <c r="U16" s="20">
        <f t="shared" si="9"/>
        <v>1865.71</v>
      </c>
      <c r="V16" s="20">
        <f t="shared" si="9"/>
        <v>6579.4499999999989</v>
      </c>
      <c r="W16" s="20">
        <f t="shared" si="9"/>
        <v>67380.649999999994</v>
      </c>
      <c r="Y16" s="20">
        <f>SUM(Y4:Y15)</f>
        <v>657.94500000000005</v>
      </c>
      <c r="Z16" s="20">
        <f>SUM(Z4:Z15)</f>
        <v>710.5806</v>
      </c>
      <c r="AA16" s="10">
        <f>SUM(Z16+W16)</f>
        <v>68091.230599999995</v>
      </c>
    </row>
    <row r="17" spans="1:26" ht="17.25" x14ac:dyDescent="0.3">
      <c r="A17" s="16"/>
      <c r="B17" s="17"/>
      <c r="G17" s="17"/>
      <c r="H17" s="17"/>
      <c r="I17" s="17"/>
      <c r="J17" s="17"/>
      <c r="K17" s="17"/>
      <c r="M17" s="17"/>
      <c r="N17" s="17"/>
      <c r="O17" s="17"/>
      <c r="P17" s="17"/>
      <c r="Q17" s="41"/>
      <c r="R17" s="17"/>
      <c r="S17" s="17"/>
      <c r="T17" s="17"/>
      <c r="U17" s="17"/>
      <c r="V17" s="17"/>
      <c r="W17" s="18"/>
      <c r="Y17" s="18"/>
      <c r="Z17" s="18"/>
    </row>
    <row r="18" spans="1:26" x14ac:dyDescent="0.25">
      <c r="C18" s="10"/>
    </row>
    <row r="19" spans="1:26" x14ac:dyDescent="0.25">
      <c r="R19" s="10"/>
      <c r="U19" s="10"/>
    </row>
    <row r="20" spans="1:26" ht="17.25" x14ac:dyDescent="0.3">
      <c r="L20" s="17"/>
      <c r="O20" s="10"/>
      <c r="P20" s="10"/>
      <c r="Q20" s="10"/>
      <c r="V20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DFD8-260F-4999-9470-D7DA083EE109}">
  <sheetPr>
    <pageSetUpPr fitToPage="1"/>
  </sheetPr>
  <dimension ref="A1:AA20"/>
  <sheetViews>
    <sheetView showGridLines="0" zoomScaleNormal="100" workbookViewId="0">
      <selection activeCell="B12" sqref="B12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101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2521.8000000000002</v>
      </c>
      <c r="R4" s="27"/>
      <c r="S4" s="26"/>
      <c r="T4" s="48">
        <f>580.09</f>
        <v>580.09</v>
      </c>
      <c r="U4" s="28">
        <v>1170</v>
      </c>
      <c r="V4" s="24">
        <f t="shared" ref="V4:V9" si="0">C4-Q4-S4+U4-R4-T4</f>
        <v>1568.1099999999997</v>
      </c>
      <c r="W4" s="25">
        <f>Q4+V4</f>
        <v>4089.91</v>
      </c>
      <c r="X4" s="40" t="s">
        <v>26</v>
      </c>
      <c r="Y4" s="49">
        <f>+V4*0.1</f>
        <v>156.81099999999998</v>
      </c>
      <c r="Z4" s="49">
        <f>+Y4*1.08</f>
        <v>169.35587999999998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5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5" si="3">+E5+D5</f>
        <v>2939.16</v>
      </c>
      <c r="M5" s="29"/>
      <c r="N5" s="12"/>
      <c r="O5" s="11"/>
      <c r="P5" s="9"/>
      <c r="Q5" s="19">
        <v>3101.8</v>
      </c>
      <c r="R5" s="27"/>
      <c r="S5" s="26"/>
      <c r="T5" s="48">
        <f>700</f>
        <v>700</v>
      </c>
      <c r="U5" s="28"/>
      <c r="V5" s="24">
        <f t="shared" si="0"/>
        <v>1198.1999999999998</v>
      </c>
      <c r="W5" s="25">
        <f t="shared" ref="W5:W15" si="4">Q5+V5</f>
        <v>4300</v>
      </c>
      <c r="X5" s="40">
        <v>2</v>
      </c>
      <c r="Y5" s="49">
        <f>+V5*0.1</f>
        <v>119.82</v>
      </c>
      <c r="Z5" s="49">
        <f t="shared" ref="Z5:Z15" si="5">+Y5*1.08</f>
        <v>129.40559999999999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3109.6</v>
      </c>
      <c r="R6" s="27">
        <v>150</v>
      </c>
      <c r="S6" s="26"/>
      <c r="T6" s="26"/>
      <c r="U6" s="28"/>
      <c r="V6" s="81">
        <f>C6-Q6-S6+U6-R6-T6+0.2</f>
        <v>240.60000000000008</v>
      </c>
      <c r="W6" s="25">
        <f t="shared" si="4"/>
        <v>3350.2</v>
      </c>
      <c r="X6" s="40" t="s">
        <v>26</v>
      </c>
      <c r="Y6" s="49">
        <f t="shared" ref="Y6:Y15" si="6">+V6*0.1</f>
        <v>24.060000000000009</v>
      </c>
      <c r="Z6" s="49">
        <f t="shared" si="5"/>
        <v>25.984800000000011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2837.2</v>
      </c>
      <c r="R7" s="27"/>
      <c r="S7" s="26"/>
      <c r="T7" s="48">
        <v>264.81</v>
      </c>
      <c r="U7" s="28"/>
      <c r="V7" s="24">
        <f>C7-Q7-S7+U7-R7-T7</f>
        <v>397.99000000000018</v>
      </c>
      <c r="W7" s="25">
        <f t="shared" si="4"/>
        <v>3235.19</v>
      </c>
      <c r="X7" s="40" t="s">
        <v>30</v>
      </c>
      <c r="Y7" s="49">
        <f t="shared" si="6"/>
        <v>39.799000000000021</v>
      </c>
      <c r="Z7" s="49">
        <f t="shared" si="5"/>
        <v>42.982920000000028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3102</v>
      </c>
      <c r="R8" s="27">
        <v>375</v>
      </c>
      <c r="S8" s="26">
        <v>105</v>
      </c>
      <c r="T8" s="23"/>
      <c r="U8" s="28"/>
      <c r="V8" s="24">
        <f>C8-Q8-S8+U8-R8-T8</f>
        <v>1418</v>
      </c>
      <c r="W8" s="25">
        <f t="shared" si="4"/>
        <v>4520</v>
      </c>
      <c r="X8" s="40" t="s">
        <v>26</v>
      </c>
      <c r="Y8" s="49">
        <f t="shared" si="6"/>
        <v>141.80000000000001</v>
      </c>
      <c r="Z8" s="49">
        <f t="shared" si="5"/>
        <v>153.14400000000003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2445.6</v>
      </c>
      <c r="R9" s="27"/>
      <c r="S9" s="26"/>
      <c r="T9" s="48">
        <v>586.25</v>
      </c>
      <c r="U9" s="28"/>
      <c r="V9" s="24">
        <f t="shared" si="0"/>
        <v>322.15000000000009</v>
      </c>
      <c r="W9" s="25">
        <f t="shared" si="4"/>
        <v>2767.75</v>
      </c>
      <c r="X9" s="40" t="s">
        <v>35</v>
      </c>
      <c r="Y9" s="49">
        <f t="shared" si="6"/>
        <v>32.215000000000011</v>
      </c>
      <c r="Z9" s="49">
        <f t="shared" si="5"/>
        <v>34.792200000000015</v>
      </c>
    </row>
    <row r="10" spans="1:27" ht="15.75" thickBot="1" x14ac:dyDescent="0.3">
      <c r="A10" s="42">
        <v>36</v>
      </c>
      <c r="B10" s="47" t="s">
        <v>45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3101.8</v>
      </c>
      <c r="R10" s="27"/>
      <c r="S10" s="26"/>
      <c r="T10" s="26"/>
      <c r="U10" s="28"/>
      <c r="V10" s="24"/>
      <c r="W10" s="25">
        <f t="shared" si="4"/>
        <v>3101.8</v>
      </c>
      <c r="X10" s="40" t="s">
        <v>73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37</v>
      </c>
      <c r="B11" s="47" t="s">
        <v>51</v>
      </c>
      <c r="C11" s="44">
        <v>5000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3101.8</v>
      </c>
      <c r="R11" s="27"/>
      <c r="S11" s="26"/>
      <c r="T11" s="23"/>
      <c r="U11" s="28"/>
      <c r="V11" s="24">
        <f t="shared" ref="V11:V13" si="7">C11-Q11-S11+U11-R11-T11</f>
        <v>1898.1999999999998</v>
      </c>
      <c r="W11" s="25">
        <f t="shared" si="4"/>
        <v>5000</v>
      </c>
      <c r="X11" s="40" t="s">
        <v>26</v>
      </c>
      <c r="Y11" s="49">
        <f t="shared" si="6"/>
        <v>189.82</v>
      </c>
      <c r="Z11" s="49">
        <f t="shared" si="5"/>
        <v>205.00560000000002</v>
      </c>
    </row>
    <row r="12" spans="1:27" ht="15.75" thickBot="1" x14ac:dyDescent="0.3">
      <c r="A12" s="50">
        <v>39</v>
      </c>
      <c r="B12" s="101" t="s">
        <v>95</v>
      </c>
      <c r="C12" s="52">
        <v>4000</v>
      </c>
      <c r="D12" s="53">
        <v>419.88</v>
      </c>
      <c r="E12" s="54">
        <f t="shared" si="1"/>
        <v>2519.2799999999997</v>
      </c>
      <c r="F12" s="102"/>
      <c r="G12" s="103"/>
      <c r="H12" s="103"/>
      <c r="I12" s="103"/>
      <c r="J12" s="103"/>
      <c r="K12" s="103"/>
      <c r="L12" s="57">
        <f t="shared" si="3"/>
        <v>2939.16</v>
      </c>
      <c r="M12" s="58"/>
      <c r="N12" s="59"/>
      <c r="O12" s="60"/>
      <c r="P12" s="60"/>
      <c r="Q12" s="61">
        <v>3148.6</v>
      </c>
      <c r="R12" s="62"/>
      <c r="S12" s="63"/>
      <c r="T12" s="63">
        <f>551.81+700</f>
        <v>1251.81</v>
      </c>
      <c r="U12" s="64"/>
      <c r="V12" s="65"/>
      <c r="W12" s="66">
        <f t="shared" si="4"/>
        <v>3148.6</v>
      </c>
      <c r="X12" s="67" t="s">
        <v>26</v>
      </c>
      <c r="Y12" s="68">
        <f t="shared" si="6"/>
        <v>0</v>
      </c>
      <c r="Z12" s="68">
        <f t="shared" si="5"/>
        <v>0</v>
      </c>
    </row>
    <row r="13" spans="1:27" ht="15.75" thickBot="1" x14ac:dyDescent="0.3">
      <c r="A13" s="42">
        <v>40</v>
      </c>
      <c r="B13" s="47" t="s">
        <v>97</v>
      </c>
      <c r="C13" s="44">
        <v>3500</v>
      </c>
      <c r="D13" s="6">
        <v>419.88</v>
      </c>
      <c r="E13" s="7"/>
      <c r="F13" s="21"/>
      <c r="G13" s="22"/>
      <c r="H13" s="22"/>
      <c r="I13" s="22"/>
      <c r="J13" s="22"/>
      <c r="K13" s="22"/>
      <c r="L13" s="34"/>
      <c r="M13" s="30"/>
      <c r="N13" s="15"/>
      <c r="O13" s="14"/>
      <c r="P13" s="14"/>
      <c r="Q13" s="19">
        <v>3354.4</v>
      </c>
      <c r="R13" s="27"/>
      <c r="S13" s="26"/>
      <c r="T13" s="23"/>
      <c r="U13" s="28"/>
      <c r="V13" s="24">
        <f t="shared" si="7"/>
        <v>145.59999999999991</v>
      </c>
      <c r="W13" s="25">
        <f t="shared" si="4"/>
        <v>3500</v>
      </c>
      <c r="X13" s="40"/>
      <c r="Y13" s="49">
        <f t="shared" si="6"/>
        <v>14.559999999999992</v>
      </c>
      <c r="Z13" s="49">
        <f t="shared" si="5"/>
        <v>15.724799999999991</v>
      </c>
    </row>
    <row r="14" spans="1:27" ht="15.75" thickBot="1" x14ac:dyDescent="0.3">
      <c r="A14" s="42">
        <v>41</v>
      </c>
      <c r="B14" s="47" t="s">
        <v>98</v>
      </c>
      <c r="C14" s="44">
        <v>4000</v>
      </c>
      <c r="D14" s="6">
        <v>419.88</v>
      </c>
      <c r="E14" s="7">
        <f t="shared" ref="E14" si="8">D14*6</f>
        <v>2519.2799999999997</v>
      </c>
      <c r="F14" s="21"/>
      <c r="G14" s="22"/>
      <c r="H14" s="22"/>
      <c r="I14" s="22"/>
      <c r="J14" s="22"/>
      <c r="K14" s="22"/>
      <c r="L14" s="34">
        <f t="shared" ref="L14" si="9">+E14+D14</f>
        <v>2939.16</v>
      </c>
      <c r="M14" s="30"/>
      <c r="N14" s="15"/>
      <c r="O14" s="14"/>
      <c r="P14" s="14"/>
      <c r="Q14" s="19">
        <v>3459.2</v>
      </c>
      <c r="R14" s="27"/>
      <c r="S14" s="26"/>
      <c r="T14" s="28"/>
      <c r="U14" s="28"/>
      <c r="V14" s="24">
        <f>C14-Q14-S14+U14-R14-T14</f>
        <v>540.80000000000018</v>
      </c>
      <c r="W14" s="25">
        <f t="shared" ref="W14" si="10">Q14+V14</f>
        <v>4000</v>
      </c>
      <c r="X14" s="40" t="s">
        <v>26</v>
      </c>
      <c r="Y14" s="49">
        <f t="shared" ref="Y14" si="11">+V14*0.1</f>
        <v>54.08000000000002</v>
      </c>
      <c r="Z14" s="49">
        <f t="shared" ref="Z14" si="12">+Y14*1.08</f>
        <v>58.406400000000026</v>
      </c>
    </row>
    <row r="15" spans="1:27" ht="15.75" thickBot="1" x14ac:dyDescent="0.3">
      <c r="A15" s="42">
        <v>42</v>
      </c>
      <c r="B15" s="47" t="s">
        <v>100</v>
      </c>
      <c r="C15" s="44">
        <v>7500</v>
      </c>
      <c r="D15" s="6">
        <v>419.88</v>
      </c>
      <c r="E15" s="7">
        <f t="shared" si="1"/>
        <v>2519.2799999999997</v>
      </c>
      <c r="F15" s="21"/>
      <c r="G15" s="22"/>
      <c r="H15" s="22"/>
      <c r="I15" s="22"/>
      <c r="J15" s="22"/>
      <c r="K15" s="22"/>
      <c r="L15" s="34">
        <f t="shared" si="3"/>
        <v>2939.16</v>
      </c>
      <c r="M15" s="30"/>
      <c r="N15" s="15"/>
      <c r="O15" s="14"/>
      <c r="P15" s="14"/>
      <c r="Q15" s="19">
        <v>2176.6</v>
      </c>
      <c r="R15" s="27"/>
      <c r="S15" s="26"/>
      <c r="T15" s="28">
        <f>627.66+1250</f>
        <v>1877.6599999999999</v>
      </c>
      <c r="U15" s="28"/>
      <c r="V15" s="24">
        <f>C15-Q15-S15+U15-R15-T15</f>
        <v>3445.74</v>
      </c>
      <c r="W15" s="25">
        <f t="shared" si="4"/>
        <v>5622.34</v>
      </c>
      <c r="X15" s="40" t="s">
        <v>26</v>
      </c>
      <c r="Y15" s="49">
        <f t="shared" si="6"/>
        <v>344.57400000000001</v>
      </c>
      <c r="Z15" s="49">
        <f t="shared" si="5"/>
        <v>372.13992000000002</v>
      </c>
    </row>
    <row r="16" spans="1:27" ht="15.75" thickBot="1" x14ac:dyDescent="0.3">
      <c r="A16" s="36"/>
      <c r="B16" s="37"/>
      <c r="C16" s="38">
        <f>SUM(C4:C15)</f>
        <v>51208</v>
      </c>
      <c r="D16" s="35">
        <f>SUM(D4:D15)</f>
        <v>5038.5600000000004</v>
      </c>
      <c r="E16" s="20">
        <f t="shared" ref="E16:K16" si="13">SUM(E4:E5)</f>
        <v>5038.5599999999995</v>
      </c>
      <c r="F16" s="20">
        <f t="shared" si="13"/>
        <v>839.76</v>
      </c>
      <c r="G16" s="20">
        <f t="shared" si="13"/>
        <v>500</v>
      </c>
      <c r="H16" s="20">
        <f t="shared" si="13"/>
        <v>587.83199999999999</v>
      </c>
      <c r="I16" s="20">
        <f t="shared" si="13"/>
        <v>587.83199999999999</v>
      </c>
      <c r="J16" s="20">
        <f t="shared" si="13"/>
        <v>312.41000000000003</v>
      </c>
      <c r="K16" s="20">
        <f t="shared" si="13"/>
        <v>78.11</v>
      </c>
      <c r="L16" s="35">
        <f>SUM(L4:L15)</f>
        <v>32330.76</v>
      </c>
      <c r="M16" s="20">
        <f>SUM(M4:M5)</f>
        <v>0</v>
      </c>
      <c r="N16" s="20">
        <f>SUM(N4:N5)</f>
        <v>0</v>
      </c>
      <c r="O16" s="20">
        <f>SUM(O4:O5)</f>
        <v>399.93</v>
      </c>
      <c r="P16" s="20">
        <f>SUM(P4:P5)</f>
        <v>0.06</v>
      </c>
      <c r="Q16" s="20">
        <f>SUM(Q4:Q15)</f>
        <v>35460.399999999994</v>
      </c>
      <c r="R16" s="20">
        <f t="shared" ref="R16:W16" si="14">SUM(R4:R15)</f>
        <v>525</v>
      </c>
      <c r="S16" s="20">
        <f t="shared" si="14"/>
        <v>105</v>
      </c>
      <c r="T16" s="20">
        <f t="shared" si="14"/>
        <v>5260.62</v>
      </c>
      <c r="U16" s="20">
        <f t="shared" si="14"/>
        <v>1170</v>
      </c>
      <c r="V16" s="20">
        <f t="shared" si="14"/>
        <v>11175.39</v>
      </c>
      <c r="W16" s="20">
        <f t="shared" si="14"/>
        <v>46635.790000000008</v>
      </c>
      <c r="Y16" s="20">
        <f>SUM(Y4:Y15)</f>
        <v>1117.539</v>
      </c>
      <c r="Z16" s="20">
        <f>SUM(Z4:Z15)</f>
        <v>1206.9421200000002</v>
      </c>
      <c r="AA16" s="10">
        <f>SUM(Z16+W16)</f>
        <v>47842.732120000008</v>
      </c>
    </row>
    <row r="17" spans="1:26" ht="17.25" x14ac:dyDescent="0.3">
      <c r="A17" s="16"/>
      <c r="B17" s="17"/>
      <c r="G17" s="17"/>
      <c r="H17" s="17"/>
      <c r="I17" s="17"/>
      <c r="J17" s="17"/>
      <c r="K17" s="17"/>
      <c r="M17" s="17"/>
      <c r="N17" s="17"/>
      <c r="O17" s="17"/>
      <c r="P17" s="17"/>
      <c r="Q17" s="41"/>
      <c r="R17" s="17"/>
      <c r="S17" s="17"/>
      <c r="T17" s="17"/>
      <c r="U17" s="17"/>
      <c r="V17" s="17"/>
      <c r="W17" s="18"/>
      <c r="Y17" s="18"/>
      <c r="Z17" s="18"/>
    </row>
    <row r="18" spans="1:26" x14ac:dyDescent="0.25">
      <c r="C18" s="10"/>
    </row>
    <row r="19" spans="1:26" x14ac:dyDescent="0.25">
      <c r="R19" s="10"/>
      <c r="U19" s="10"/>
    </row>
    <row r="20" spans="1:26" ht="17.25" x14ac:dyDescent="0.3">
      <c r="L20" s="17"/>
      <c r="O20" s="10"/>
      <c r="P20" s="10"/>
      <c r="Q20" s="10"/>
      <c r="V20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CB5A0-D5DC-488B-B53D-7A5120D3E1D7}">
  <sheetPr>
    <pageSetUpPr fitToPage="1"/>
  </sheetPr>
  <dimension ref="A1:AA20"/>
  <sheetViews>
    <sheetView showGridLines="0" topLeftCell="D1" zoomScaleNormal="100" workbookViewId="0">
      <selection activeCell="Q10" sqref="Q10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102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2774.2</v>
      </c>
      <c r="R4" s="27"/>
      <c r="S4" s="26"/>
      <c r="T4" s="48">
        <f>580.09</f>
        <v>580.09</v>
      </c>
      <c r="U4" s="28">
        <v>1390</v>
      </c>
      <c r="V4" s="24">
        <f t="shared" ref="V4:V9" si="0">C4-Q4-S4+U4-R4-T4</f>
        <v>1535.71</v>
      </c>
      <c r="W4" s="25">
        <f>Q4+V4</f>
        <v>4309.91</v>
      </c>
      <c r="X4" s="40" t="s">
        <v>26</v>
      </c>
      <c r="Y4" s="49">
        <f>+V4*0.1</f>
        <v>153.57100000000003</v>
      </c>
      <c r="Z4" s="49">
        <f>+Y4*1.08</f>
        <v>165.85668000000004</v>
      </c>
    </row>
    <row r="5" spans="1:27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5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5" si="3">+E5+D5</f>
        <v>2939.16</v>
      </c>
      <c r="M5" s="29"/>
      <c r="N5" s="12"/>
      <c r="O5" s="11"/>
      <c r="P5" s="9"/>
      <c r="Q5" s="19">
        <v>3354.4</v>
      </c>
      <c r="R5" s="27"/>
      <c r="S5" s="26"/>
      <c r="T5" s="48">
        <f>700</f>
        <v>700</v>
      </c>
      <c r="U5" s="28"/>
      <c r="V5" s="24">
        <f t="shared" si="0"/>
        <v>945.59999999999991</v>
      </c>
      <c r="W5" s="25">
        <f t="shared" ref="W5:W15" si="4">Q5+V5</f>
        <v>4300</v>
      </c>
      <c r="X5" s="40">
        <v>2</v>
      </c>
      <c r="Y5" s="49">
        <f>+V5*0.1</f>
        <v>94.56</v>
      </c>
      <c r="Z5" s="49">
        <f t="shared" ref="Z5:Z15" si="5">+Y5*1.08</f>
        <v>102.12480000000001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3125.2</v>
      </c>
      <c r="R6" s="27">
        <v>375</v>
      </c>
      <c r="S6" s="26"/>
      <c r="T6" s="26"/>
      <c r="U6" s="28"/>
      <c r="V6" s="81">
        <f>C6-Q6-S6+U6-R6-T6+0.2</f>
        <v>1.819100425848319E-13</v>
      </c>
      <c r="W6" s="25">
        <f t="shared" si="4"/>
        <v>3125.2</v>
      </c>
      <c r="X6" s="40" t="s">
        <v>26</v>
      </c>
      <c r="Y6" s="49">
        <f t="shared" ref="Y6:Y15" si="6">+V6*0.1</f>
        <v>1.8191004258483192E-14</v>
      </c>
      <c r="Z6" s="49">
        <f t="shared" si="5"/>
        <v>1.9646284599161848E-14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3089.6</v>
      </c>
      <c r="R7" s="27"/>
      <c r="S7" s="26"/>
      <c r="T7" s="48">
        <v>264.81</v>
      </c>
      <c r="U7" s="28"/>
      <c r="V7" s="24">
        <f>C7-Q7-S7+U7-R7-T7</f>
        <v>145.59000000000009</v>
      </c>
      <c r="W7" s="25">
        <f t="shared" si="4"/>
        <v>3235.19</v>
      </c>
      <c r="X7" s="40" t="s">
        <v>30</v>
      </c>
      <c r="Y7" s="49">
        <f t="shared" si="6"/>
        <v>14.55900000000001</v>
      </c>
      <c r="Z7" s="49">
        <f t="shared" si="5"/>
        <v>15.723720000000013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3"/>
      <c r="U8" s="28"/>
      <c r="V8" s="24">
        <f>C8-Q8-S8+U8-R8-T8</f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2683</v>
      </c>
      <c r="R9" s="27"/>
      <c r="S9" s="26"/>
      <c r="T9" s="48">
        <v>586.25</v>
      </c>
      <c r="U9" s="28"/>
      <c r="V9" s="24">
        <f t="shared" si="0"/>
        <v>84.75</v>
      </c>
      <c r="W9" s="25">
        <f t="shared" si="4"/>
        <v>2767.75</v>
      </c>
      <c r="X9" s="40" t="s">
        <v>35</v>
      </c>
      <c r="Y9" s="49">
        <f t="shared" si="6"/>
        <v>8.4749999999999996</v>
      </c>
      <c r="Z9" s="49">
        <f t="shared" si="5"/>
        <v>9.1530000000000005</v>
      </c>
    </row>
    <row r="10" spans="1:27" ht="15.75" thickBot="1" x14ac:dyDescent="0.3">
      <c r="A10" s="42">
        <v>36</v>
      </c>
      <c r="B10" s="47" t="s">
        <v>45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3354.4</v>
      </c>
      <c r="R10" s="27"/>
      <c r="S10" s="26"/>
      <c r="T10" s="26"/>
      <c r="U10" s="28"/>
      <c r="V10" s="24"/>
      <c r="W10" s="25">
        <f t="shared" si="4"/>
        <v>3354.4</v>
      </c>
      <c r="X10" s="40" t="s">
        <v>73</v>
      </c>
      <c r="Y10" s="49">
        <f t="shared" si="6"/>
        <v>0</v>
      </c>
      <c r="Z10" s="49">
        <f t="shared" si="5"/>
        <v>0</v>
      </c>
    </row>
    <row r="11" spans="1:27" ht="15.75" thickBot="1" x14ac:dyDescent="0.3">
      <c r="A11" s="42">
        <v>37</v>
      </c>
      <c r="B11" s="47" t="s">
        <v>51</v>
      </c>
      <c r="C11" s="44">
        <v>5000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/>
      <c r="S11" s="26"/>
      <c r="T11" s="23"/>
      <c r="U11" s="28"/>
      <c r="V11" s="24">
        <f t="shared" ref="V11:V12" si="7">C11-Q11-S11+U11-R11-T11</f>
        <v>1645.6</v>
      </c>
      <c r="W11" s="25">
        <f t="shared" si="4"/>
        <v>5000</v>
      </c>
      <c r="X11" s="40" t="s">
        <v>26</v>
      </c>
      <c r="Y11" s="49">
        <f t="shared" si="6"/>
        <v>164.56</v>
      </c>
      <c r="Z11" s="49">
        <f t="shared" si="5"/>
        <v>177.72480000000002</v>
      </c>
    </row>
    <row r="12" spans="1:27" ht="15.75" thickBot="1" x14ac:dyDescent="0.3">
      <c r="A12" s="42">
        <v>40</v>
      </c>
      <c r="B12" s="47" t="s">
        <v>97</v>
      </c>
      <c r="C12" s="44">
        <v>3500</v>
      </c>
      <c r="D12" s="6">
        <v>419.88</v>
      </c>
      <c r="E12" s="7"/>
      <c r="F12" s="21"/>
      <c r="G12" s="22"/>
      <c r="H12" s="22"/>
      <c r="I12" s="22"/>
      <c r="J12" s="22"/>
      <c r="K12" s="22"/>
      <c r="L12" s="34"/>
      <c r="M12" s="30"/>
      <c r="N12" s="15"/>
      <c r="O12" s="14"/>
      <c r="P12" s="14"/>
      <c r="Q12" s="19">
        <v>3354.2</v>
      </c>
      <c r="R12" s="27"/>
      <c r="S12" s="26"/>
      <c r="T12" s="23"/>
      <c r="U12" s="28"/>
      <c r="V12" s="24">
        <f t="shared" si="7"/>
        <v>145.80000000000018</v>
      </c>
      <c r="W12" s="25">
        <f t="shared" si="4"/>
        <v>3500</v>
      </c>
      <c r="X12" s="40"/>
      <c r="Y12" s="49">
        <f t="shared" si="6"/>
        <v>14.58000000000002</v>
      </c>
      <c r="Z12" s="49">
        <f t="shared" si="5"/>
        <v>15.746400000000023</v>
      </c>
    </row>
    <row r="13" spans="1:27" ht="15.75" thickBot="1" x14ac:dyDescent="0.3">
      <c r="A13" s="42">
        <v>41</v>
      </c>
      <c r="B13" s="47" t="s">
        <v>98</v>
      </c>
      <c r="C13" s="44">
        <v>4000</v>
      </c>
      <c r="D13" s="6">
        <v>419.88</v>
      </c>
      <c r="E13" s="7">
        <f t="shared" ref="E13:E14" si="8">D13*6</f>
        <v>2519.2799999999997</v>
      </c>
      <c r="F13" s="21"/>
      <c r="G13" s="22"/>
      <c r="H13" s="22"/>
      <c r="I13" s="22"/>
      <c r="J13" s="22"/>
      <c r="K13" s="22"/>
      <c r="L13" s="34">
        <f t="shared" ref="L13:L14" si="9">+E13+D13</f>
        <v>2939.16</v>
      </c>
      <c r="M13" s="30"/>
      <c r="N13" s="15"/>
      <c r="O13" s="14"/>
      <c r="P13" s="14"/>
      <c r="Q13" s="19">
        <v>3459.4</v>
      </c>
      <c r="R13" s="27"/>
      <c r="S13" s="26"/>
      <c r="T13" s="28"/>
      <c r="U13" s="28"/>
      <c r="V13" s="24">
        <f>C13-Q13-S13+U13-R13-T13</f>
        <v>540.59999999999991</v>
      </c>
      <c r="W13" s="25">
        <f t="shared" si="4"/>
        <v>4000</v>
      </c>
      <c r="X13" s="40" t="s">
        <v>26</v>
      </c>
      <c r="Y13" s="49">
        <f t="shared" si="6"/>
        <v>54.059999999999995</v>
      </c>
      <c r="Z13" s="49">
        <f t="shared" si="5"/>
        <v>58.384799999999998</v>
      </c>
    </row>
    <row r="14" spans="1:27" ht="15" customHeight="1" thickBot="1" x14ac:dyDescent="0.3">
      <c r="A14" s="42">
        <v>42</v>
      </c>
      <c r="B14" s="47" t="s">
        <v>100</v>
      </c>
      <c r="C14" s="44">
        <v>7500</v>
      </c>
      <c r="D14" s="6">
        <v>419.88</v>
      </c>
      <c r="E14" s="7">
        <f t="shared" si="8"/>
        <v>2519.2799999999997</v>
      </c>
      <c r="F14" s="21"/>
      <c r="G14" s="22"/>
      <c r="H14" s="22"/>
      <c r="I14" s="22"/>
      <c r="J14" s="22"/>
      <c r="K14" s="22"/>
      <c r="L14" s="34">
        <f t="shared" si="9"/>
        <v>2939.16</v>
      </c>
      <c r="M14" s="30"/>
      <c r="N14" s="15"/>
      <c r="O14" s="14"/>
      <c r="P14" s="14"/>
      <c r="Q14" s="19">
        <v>2537</v>
      </c>
      <c r="R14" s="27">
        <v>375</v>
      </c>
      <c r="S14" s="26"/>
      <c r="T14" s="48">
        <v>732.27</v>
      </c>
      <c r="U14" s="28"/>
      <c r="V14" s="24">
        <f>C14-Q14-S14+U14-R14-T14</f>
        <v>3855.73</v>
      </c>
      <c r="W14" s="25">
        <f t="shared" ref="W14" si="10">Q14+V14</f>
        <v>6392.73</v>
      </c>
      <c r="X14" s="40" t="s">
        <v>26</v>
      </c>
      <c r="Y14" s="49">
        <f t="shared" ref="Y14" si="11">+V14*0.1</f>
        <v>385.57300000000004</v>
      </c>
      <c r="Z14" s="49">
        <f t="shared" ref="Z14" si="12">+Y14*1.08</f>
        <v>416.41884000000005</v>
      </c>
    </row>
    <row r="15" spans="1:27" ht="15" customHeight="1" thickBot="1" x14ac:dyDescent="0.3">
      <c r="A15" s="42">
        <v>43</v>
      </c>
      <c r="B15" s="47" t="s">
        <v>103</v>
      </c>
      <c r="C15" s="44">
        <v>7500</v>
      </c>
      <c r="D15" s="6">
        <v>419.88</v>
      </c>
      <c r="E15" s="7">
        <f t="shared" si="1"/>
        <v>2519.2799999999997</v>
      </c>
      <c r="F15" s="21"/>
      <c r="G15" s="22"/>
      <c r="H15" s="22"/>
      <c r="I15" s="22"/>
      <c r="J15" s="22"/>
      <c r="K15" s="22"/>
      <c r="L15" s="34">
        <f t="shared" si="3"/>
        <v>2939.16</v>
      </c>
      <c r="M15" s="30"/>
      <c r="N15" s="15"/>
      <c r="O15" s="14"/>
      <c r="P15" s="14"/>
      <c r="Q15" s="19">
        <v>3354.4</v>
      </c>
      <c r="R15" s="27">
        <v>225</v>
      </c>
      <c r="S15" s="26"/>
      <c r="T15" s="28"/>
      <c r="U15" s="28"/>
      <c r="V15" s="24">
        <f>C15-Q15-S15+U15-R15-T15</f>
        <v>3920.6000000000004</v>
      </c>
      <c r="W15" s="25">
        <f t="shared" si="4"/>
        <v>7275</v>
      </c>
      <c r="X15" s="40" t="s">
        <v>26</v>
      </c>
      <c r="Y15" s="49">
        <f t="shared" si="6"/>
        <v>392.06000000000006</v>
      </c>
      <c r="Z15" s="49">
        <f t="shared" si="5"/>
        <v>423.42480000000012</v>
      </c>
    </row>
    <row r="16" spans="1:27" ht="15.75" thickBot="1" x14ac:dyDescent="0.3">
      <c r="A16" s="36"/>
      <c r="B16" s="37"/>
      <c r="C16" s="38">
        <f>SUM(C4:C15)</f>
        <v>54708</v>
      </c>
      <c r="D16" s="35">
        <f>SUM(D4:D15)</f>
        <v>5038.5600000000004</v>
      </c>
      <c r="E16" s="20">
        <f t="shared" ref="E16:K16" si="13">SUM(E4:E5)</f>
        <v>5038.5599999999995</v>
      </c>
      <c r="F16" s="20">
        <f t="shared" si="13"/>
        <v>839.76</v>
      </c>
      <c r="G16" s="20">
        <f t="shared" si="13"/>
        <v>500</v>
      </c>
      <c r="H16" s="20">
        <f t="shared" si="13"/>
        <v>587.83199999999999</v>
      </c>
      <c r="I16" s="20">
        <f t="shared" si="13"/>
        <v>587.83199999999999</v>
      </c>
      <c r="J16" s="20">
        <f t="shared" si="13"/>
        <v>312.41000000000003</v>
      </c>
      <c r="K16" s="20">
        <f t="shared" si="13"/>
        <v>78.11</v>
      </c>
      <c r="L16" s="35">
        <f>SUM(L4:L15)</f>
        <v>32330.76</v>
      </c>
      <c r="M16" s="20">
        <f>SUM(M4:M5)</f>
        <v>0</v>
      </c>
      <c r="N16" s="20">
        <f>SUM(N4:N5)</f>
        <v>0</v>
      </c>
      <c r="O16" s="20">
        <f>SUM(O4:O5)</f>
        <v>399.93</v>
      </c>
      <c r="P16" s="20">
        <f>SUM(P4:P5)</f>
        <v>0.06</v>
      </c>
      <c r="Q16" s="20">
        <f>SUM(Q4:Q15)</f>
        <v>37794.600000000006</v>
      </c>
      <c r="R16" s="20">
        <f t="shared" ref="R16:W16" si="14">SUM(R4:R15)</f>
        <v>1350</v>
      </c>
      <c r="S16" s="20">
        <f t="shared" si="14"/>
        <v>140</v>
      </c>
      <c r="T16" s="20">
        <f t="shared" si="14"/>
        <v>2863.42</v>
      </c>
      <c r="U16" s="20">
        <f t="shared" si="14"/>
        <v>1390</v>
      </c>
      <c r="V16" s="20">
        <f t="shared" si="14"/>
        <v>13950.58</v>
      </c>
      <c r="W16" s="20">
        <f t="shared" si="14"/>
        <v>51745.180000000008</v>
      </c>
      <c r="Y16" s="20">
        <f>SUM(Y4:Y15)</f>
        <v>1395.058</v>
      </c>
      <c r="Z16" s="20">
        <f>SUM(Z4:Z15)</f>
        <v>1506.6626400000005</v>
      </c>
      <c r="AA16" s="10">
        <f>SUM(Z16+W16)</f>
        <v>53251.84264000001</v>
      </c>
    </row>
    <row r="17" spans="1:26" ht="17.25" x14ac:dyDescent="0.3">
      <c r="A17" s="16"/>
      <c r="B17" s="17"/>
      <c r="G17" s="17"/>
      <c r="H17" s="17"/>
      <c r="I17" s="17"/>
      <c r="J17" s="17"/>
      <c r="K17" s="17"/>
      <c r="M17" s="17"/>
      <c r="N17" s="17"/>
      <c r="O17" s="17"/>
      <c r="P17" s="17"/>
      <c r="Q17" s="41"/>
      <c r="R17" s="17"/>
      <c r="S17" s="17"/>
      <c r="T17" s="17"/>
      <c r="U17" s="17"/>
      <c r="V17" s="17"/>
      <c r="W17" s="18"/>
      <c r="Y17" s="18"/>
      <c r="Z17" s="18"/>
    </row>
    <row r="18" spans="1:26" x14ac:dyDescent="0.25">
      <c r="C18" s="10"/>
    </row>
    <row r="19" spans="1:26" x14ac:dyDescent="0.25">
      <c r="R19" s="10"/>
      <c r="U19" s="10"/>
    </row>
    <row r="20" spans="1:26" ht="17.25" x14ac:dyDescent="0.3">
      <c r="L20" s="17"/>
      <c r="O20" s="10"/>
      <c r="P20" s="10"/>
      <c r="Q20" s="10"/>
      <c r="V20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D135-F88F-4F32-9535-F8DACE6F0EA1}">
  <sheetPr>
    <pageSetUpPr fitToPage="1"/>
  </sheetPr>
  <dimension ref="A1:AA22"/>
  <sheetViews>
    <sheetView showGridLines="0" tabSelected="1" topLeftCell="C1" zoomScaleNormal="100" workbookViewId="0">
      <selection activeCell="W16" sqref="W16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6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6" ht="15.75" thickBot="1" x14ac:dyDescent="0.3">
      <c r="A2" s="105" t="s">
        <v>104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6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6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2813.2</v>
      </c>
      <c r="R4" s="27"/>
      <c r="S4" s="26"/>
      <c r="T4" s="48">
        <f>580.09</f>
        <v>580.09</v>
      </c>
      <c r="U4" s="28">
        <f>1440+125</f>
        <v>1565</v>
      </c>
      <c r="V4" s="24">
        <f t="shared" ref="V4:V9" si="0">C4-Q4-S4+U4-R4-T4</f>
        <v>1671.71</v>
      </c>
      <c r="W4" s="25">
        <f>Q4+V4</f>
        <v>4484.91</v>
      </c>
      <c r="X4" s="40" t="s">
        <v>26</v>
      </c>
      <c r="Y4" s="49">
        <f>+V4*0.1</f>
        <v>167.17100000000002</v>
      </c>
      <c r="Z4" s="49">
        <f>+Y4*1.08</f>
        <v>180.54468000000003</v>
      </c>
    </row>
    <row r="5" spans="1:26" ht="18" customHeight="1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7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7" si="3">+E5+D5</f>
        <v>2939.16</v>
      </c>
      <c r="M5" s="29"/>
      <c r="N5" s="12"/>
      <c r="O5" s="11"/>
      <c r="P5" s="9"/>
      <c r="Q5" s="19">
        <v>3354.2</v>
      </c>
      <c r="R5" s="27"/>
      <c r="S5" s="26"/>
      <c r="T5" s="48">
        <f>700</f>
        <v>700</v>
      </c>
      <c r="U5" s="28"/>
      <c r="V5" s="24">
        <f t="shared" si="0"/>
        <v>945.80000000000018</v>
      </c>
      <c r="W5" s="25">
        <f t="shared" ref="W5:W17" si="4">Q5+V5</f>
        <v>4300</v>
      </c>
      <c r="X5" s="40">
        <v>2</v>
      </c>
      <c r="Y5" s="49">
        <f>+V5*0.1</f>
        <v>94.580000000000027</v>
      </c>
      <c r="Z5" s="49">
        <f t="shared" ref="Z5:Z17" si="5">+Y5*1.08</f>
        <v>102.14640000000004</v>
      </c>
    </row>
    <row r="6" spans="1:26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3350</v>
      </c>
      <c r="R6" s="27">
        <v>150</v>
      </c>
      <c r="S6" s="26"/>
      <c r="T6" s="26"/>
      <c r="U6" s="28"/>
      <c r="V6" s="81">
        <f>C6-Q6-S6+U6-R6-T6</f>
        <v>0</v>
      </c>
      <c r="W6" s="25">
        <f t="shared" si="4"/>
        <v>3350</v>
      </c>
      <c r="X6" s="40" t="s">
        <v>26</v>
      </c>
      <c r="Y6" s="49">
        <f t="shared" ref="Y6:Y17" si="6">+V6*0.1</f>
        <v>0</v>
      </c>
      <c r="Z6" s="49">
        <f t="shared" si="5"/>
        <v>0</v>
      </c>
    </row>
    <row r="7" spans="1:26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3089.4</v>
      </c>
      <c r="R7" s="27"/>
      <c r="S7" s="26"/>
      <c r="T7" s="48">
        <v>264.81</v>
      </c>
      <c r="U7" s="28"/>
      <c r="V7" s="24">
        <f>C7-Q7-S7+U7-R7-T7</f>
        <v>145.78999999999991</v>
      </c>
      <c r="W7" s="25">
        <f t="shared" si="4"/>
        <v>3235.19</v>
      </c>
      <c r="X7" s="40" t="s">
        <v>30</v>
      </c>
      <c r="Y7" s="49">
        <f t="shared" si="6"/>
        <v>14.578999999999992</v>
      </c>
      <c r="Z7" s="49">
        <f t="shared" si="5"/>
        <v>15.745319999999992</v>
      </c>
    </row>
    <row r="8" spans="1:26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300</v>
      </c>
      <c r="S8" s="26">
        <v>35</v>
      </c>
      <c r="T8" s="23"/>
      <c r="U8" s="28"/>
      <c r="V8" s="24">
        <f>C8-Q8-S8+U8-R8-T8</f>
        <v>1310.8000000000002</v>
      </c>
      <c r="W8" s="25">
        <f t="shared" si="4"/>
        <v>4665</v>
      </c>
      <c r="X8" s="40" t="s">
        <v>26</v>
      </c>
      <c r="Y8" s="49">
        <f t="shared" si="6"/>
        <v>131.08000000000001</v>
      </c>
      <c r="Z8" s="49">
        <f t="shared" si="5"/>
        <v>141.56640000000002</v>
      </c>
    </row>
    <row r="9" spans="1:26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2698</v>
      </c>
      <c r="R9" s="27"/>
      <c r="S9" s="26"/>
      <c r="T9" s="48">
        <v>586.25</v>
      </c>
      <c r="U9" s="28"/>
      <c r="V9" s="24">
        <f t="shared" si="0"/>
        <v>69.75</v>
      </c>
      <c r="W9" s="25">
        <f t="shared" si="4"/>
        <v>2767.75</v>
      </c>
      <c r="X9" s="40" t="s">
        <v>35</v>
      </c>
      <c r="Y9" s="49">
        <f t="shared" si="6"/>
        <v>6.9750000000000005</v>
      </c>
      <c r="Z9" s="49">
        <f t="shared" si="5"/>
        <v>7.5330000000000013</v>
      </c>
    </row>
    <row r="10" spans="1:26" ht="15.75" thickBot="1" x14ac:dyDescent="0.3">
      <c r="A10" s="42">
        <v>36</v>
      </c>
      <c r="B10" s="47" t="s">
        <v>45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3354.4</v>
      </c>
      <c r="R10" s="27"/>
      <c r="S10" s="26"/>
      <c r="T10" s="26"/>
      <c r="U10" s="28"/>
      <c r="V10" s="24"/>
      <c r="W10" s="25">
        <f t="shared" si="4"/>
        <v>3354.4</v>
      </c>
      <c r="X10" s="40" t="s">
        <v>73</v>
      </c>
      <c r="Y10" s="49">
        <f t="shared" si="6"/>
        <v>0</v>
      </c>
      <c r="Z10" s="49">
        <f t="shared" si="5"/>
        <v>0</v>
      </c>
    </row>
    <row r="11" spans="1:26" ht="15.75" thickBot="1" x14ac:dyDescent="0.3">
      <c r="A11" s="42">
        <v>37</v>
      </c>
      <c r="B11" s="47" t="s">
        <v>51</v>
      </c>
      <c r="C11" s="44">
        <v>5000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/>
      <c r="S11" s="26"/>
      <c r="T11" s="23"/>
      <c r="U11" s="28"/>
      <c r="V11" s="24">
        <f t="shared" ref="V11:V12" si="7">C11-Q11-S11+U11-R11-T11</f>
        <v>1645.8000000000002</v>
      </c>
      <c r="W11" s="25">
        <f t="shared" si="4"/>
        <v>5000</v>
      </c>
      <c r="X11" s="40" t="s">
        <v>26</v>
      </c>
      <c r="Y11" s="49">
        <f t="shared" si="6"/>
        <v>164.58000000000004</v>
      </c>
      <c r="Z11" s="49">
        <f t="shared" si="5"/>
        <v>177.74640000000005</v>
      </c>
    </row>
    <row r="12" spans="1:26" ht="15.75" thickBot="1" x14ac:dyDescent="0.3">
      <c r="A12" s="42">
        <v>40</v>
      </c>
      <c r="B12" s="47" t="s">
        <v>97</v>
      </c>
      <c r="C12" s="44">
        <v>3500</v>
      </c>
      <c r="D12" s="6">
        <v>419.88</v>
      </c>
      <c r="E12" s="7"/>
      <c r="F12" s="21"/>
      <c r="G12" s="22"/>
      <c r="H12" s="22"/>
      <c r="I12" s="22"/>
      <c r="J12" s="22"/>
      <c r="K12" s="22"/>
      <c r="L12" s="34"/>
      <c r="M12" s="30"/>
      <c r="N12" s="15"/>
      <c r="O12" s="14"/>
      <c r="P12" s="14"/>
      <c r="Q12" s="19">
        <v>3354.4</v>
      </c>
      <c r="R12" s="27"/>
      <c r="S12" s="26"/>
      <c r="T12" s="23"/>
      <c r="U12" s="28"/>
      <c r="V12" s="24">
        <f t="shared" si="7"/>
        <v>145.59999999999991</v>
      </c>
      <c r="W12" s="25">
        <f t="shared" si="4"/>
        <v>3500</v>
      </c>
      <c r="X12" s="40"/>
      <c r="Y12" s="49">
        <f t="shared" si="6"/>
        <v>14.559999999999992</v>
      </c>
      <c r="Z12" s="49">
        <f t="shared" si="5"/>
        <v>15.724799999999991</v>
      </c>
    </row>
    <row r="13" spans="1:26" ht="15.75" thickBot="1" x14ac:dyDescent="0.3">
      <c r="A13" s="42">
        <v>41</v>
      </c>
      <c r="B13" s="47" t="s">
        <v>98</v>
      </c>
      <c r="C13" s="44">
        <v>4000</v>
      </c>
      <c r="D13" s="6">
        <v>419.88</v>
      </c>
      <c r="E13" s="7">
        <f t="shared" ref="E13:E15" si="8">D13*6</f>
        <v>2519.2799999999997</v>
      </c>
      <c r="F13" s="21"/>
      <c r="G13" s="22"/>
      <c r="H13" s="22"/>
      <c r="I13" s="22"/>
      <c r="J13" s="22"/>
      <c r="K13" s="22"/>
      <c r="L13" s="34">
        <f t="shared" ref="L13:L15" si="9">+E13+D13</f>
        <v>2939.16</v>
      </c>
      <c r="M13" s="30"/>
      <c r="N13" s="15"/>
      <c r="O13" s="14"/>
      <c r="P13" s="14"/>
      <c r="Q13" s="19">
        <v>2984</v>
      </c>
      <c r="R13" s="27"/>
      <c r="S13" s="26"/>
      <c r="T13" s="23">
        <v>666.67</v>
      </c>
      <c r="U13" s="28"/>
      <c r="V13" s="24">
        <f>C13-Q13-S13+U13-R13-T13</f>
        <v>349.33000000000004</v>
      </c>
      <c r="W13" s="25">
        <f t="shared" si="4"/>
        <v>3333.33</v>
      </c>
      <c r="X13" s="40" t="s">
        <v>26</v>
      </c>
      <c r="Y13" s="49">
        <f t="shared" si="6"/>
        <v>34.933000000000007</v>
      </c>
      <c r="Z13" s="49">
        <f t="shared" si="5"/>
        <v>37.727640000000008</v>
      </c>
    </row>
    <row r="14" spans="1:26" ht="15" customHeight="1" thickBot="1" x14ac:dyDescent="0.3">
      <c r="A14" s="42">
        <v>42</v>
      </c>
      <c r="B14" s="47" t="s">
        <v>100</v>
      </c>
      <c r="C14" s="44">
        <v>7500</v>
      </c>
      <c r="D14" s="6">
        <v>419.88</v>
      </c>
      <c r="E14" s="7">
        <f t="shared" si="8"/>
        <v>2519.2799999999997</v>
      </c>
      <c r="F14" s="21"/>
      <c r="G14" s="22"/>
      <c r="H14" s="22"/>
      <c r="I14" s="22"/>
      <c r="J14" s="22"/>
      <c r="K14" s="22"/>
      <c r="L14" s="34">
        <f t="shared" si="9"/>
        <v>2939.16</v>
      </c>
      <c r="M14" s="30"/>
      <c r="N14" s="15"/>
      <c r="O14" s="14"/>
      <c r="P14" s="14"/>
      <c r="Q14" s="19">
        <v>2552.1999999999998</v>
      </c>
      <c r="R14" s="27"/>
      <c r="S14" s="26"/>
      <c r="T14" s="48">
        <v>732.27</v>
      </c>
      <c r="U14" s="28"/>
      <c r="V14" s="24">
        <f>C14-Q14-S14+U14-R14-T14</f>
        <v>4215.5300000000007</v>
      </c>
      <c r="W14" s="25">
        <f t="shared" si="4"/>
        <v>6767.7300000000005</v>
      </c>
      <c r="X14" s="40" t="s">
        <v>26</v>
      </c>
      <c r="Y14" s="49">
        <f t="shared" si="6"/>
        <v>421.55300000000011</v>
      </c>
      <c r="Z14" s="49">
        <f t="shared" si="5"/>
        <v>455.27724000000018</v>
      </c>
    </row>
    <row r="15" spans="1:26" ht="15" customHeight="1" thickBot="1" x14ac:dyDescent="0.3">
      <c r="A15" s="42">
        <v>43</v>
      </c>
      <c r="B15" s="47" t="s">
        <v>103</v>
      </c>
      <c r="C15" s="44">
        <v>7500</v>
      </c>
      <c r="D15" s="6">
        <v>419.88</v>
      </c>
      <c r="E15" s="7">
        <f t="shared" si="8"/>
        <v>2519.2799999999997</v>
      </c>
      <c r="F15" s="21"/>
      <c r="G15" s="22"/>
      <c r="H15" s="22"/>
      <c r="I15" s="22"/>
      <c r="J15" s="22"/>
      <c r="K15" s="22"/>
      <c r="L15" s="34">
        <f t="shared" si="9"/>
        <v>2939.16</v>
      </c>
      <c r="M15" s="30"/>
      <c r="N15" s="15"/>
      <c r="O15" s="14"/>
      <c r="P15" s="14"/>
      <c r="Q15" s="19">
        <v>3354.2</v>
      </c>
      <c r="R15" s="27">
        <v>300</v>
      </c>
      <c r="S15" s="26"/>
      <c r="T15" s="28"/>
      <c r="U15" s="28"/>
      <c r="V15" s="24">
        <f>C15-Q15-S15+U15-R15-T15</f>
        <v>3845.8</v>
      </c>
      <c r="W15" s="25">
        <f t="shared" ref="W15:W16" si="10">Q15+V15</f>
        <v>7200</v>
      </c>
      <c r="X15" s="40" t="s">
        <v>26</v>
      </c>
      <c r="Y15" s="49">
        <f t="shared" ref="Y15:Y16" si="11">+V15*0.1</f>
        <v>384.58000000000004</v>
      </c>
      <c r="Z15" s="49">
        <f t="shared" ref="Z15:Z16" si="12">+Y15*1.08</f>
        <v>415.34640000000007</v>
      </c>
    </row>
    <row r="16" spans="1:26" ht="15" customHeight="1" thickBot="1" x14ac:dyDescent="0.3">
      <c r="A16" s="42">
        <v>44</v>
      </c>
      <c r="B16" s="47" t="s">
        <v>105</v>
      </c>
      <c r="C16" s="44">
        <v>4500</v>
      </c>
      <c r="D16" s="6">
        <v>419.88</v>
      </c>
      <c r="E16" s="7"/>
      <c r="F16" s="21"/>
      <c r="G16" s="22"/>
      <c r="H16" s="22"/>
      <c r="I16" s="22"/>
      <c r="J16" s="22"/>
      <c r="K16" s="22"/>
      <c r="L16" s="34"/>
      <c r="M16" s="30"/>
      <c r="N16" s="15"/>
      <c r="O16" s="14"/>
      <c r="P16" s="14"/>
      <c r="Q16" s="19">
        <v>3354.4</v>
      </c>
      <c r="R16" s="27">
        <v>300</v>
      </c>
      <c r="S16" s="26"/>
      <c r="T16" s="26"/>
      <c r="U16" s="28"/>
      <c r="V16" s="24">
        <f>C16-Q16-S16+U16-R16-T16</f>
        <v>845.59999999999991</v>
      </c>
      <c r="W16" s="25">
        <f t="shared" si="10"/>
        <v>4200</v>
      </c>
      <c r="X16" s="40" t="s">
        <v>26</v>
      </c>
      <c r="Y16" s="49">
        <f t="shared" si="11"/>
        <v>84.56</v>
      </c>
      <c r="Z16" s="49">
        <f t="shared" si="12"/>
        <v>91.32480000000001</v>
      </c>
    </row>
    <row r="17" spans="1:27" ht="15" customHeight="1" thickBot="1" x14ac:dyDescent="0.3">
      <c r="A17" s="42">
        <v>45</v>
      </c>
      <c r="B17" s="47" t="s">
        <v>106</v>
      </c>
      <c r="C17" s="44">
        <v>4500</v>
      </c>
      <c r="D17" s="6">
        <v>419.88</v>
      </c>
      <c r="E17" s="7">
        <f t="shared" si="1"/>
        <v>2519.2799999999997</v>
      </c>
      <c r="F17" s="21"/>
      <c r="G17" s="22"/>
      <c r="H17" s="22"/>
      <c r="I17" s="22"/>
      <c r="J17" s="22"/>
      <c r="K17" s="22"/>
      <c r="L17" s="34">
        <f t="shared" si="3"/>
        <v>2939.16</v>
      </c>
      <c r="M17" s="30"/>
      <c r="N17" s="15"/>
      <c r="O17" s="14"/>
      <c r="P17" s="14"/>
      <c r="Q17" s="19">
        <v>3459.2</v>
      </c>
      <c r="R17" s="27"/>
      <c r="S17" s="26"/>
      <c r="T17" s="28"/>
      <c r="U17" s="28"/>
      <c r="V17" s="24">
        <f>C17-Q17-S17+U17-R17-T17</f>
        <v>1040.8000000000002</v>
      </c>
      <c r="W17" s="25">
        <f t="shared" si="4"/>
        <v>4500</v>
      </c>
      <c r="X17" s="40" t="s">
        <v>26</v>
      </c>
      <c r="Y17" s="49">
        <f t="shared" si="6"/>
        <v>104.08000000000003</v>
      </c>
      <c r="Z17" s="49">
        <f t="shared" si="5"/>
        <v>112.40640000000003</v>
      </c>
    </row>
    <row r="18" spans="1:27" ht="15.75" thickBot="1" x14ac:dyDescent="0.3">
      <c r="A18" s="36"/>
      <c r="B18" s="37"/>
      <c r="C18" s="38">
        <f>SUM(C4:C17)</f>
        <v>63708</v>
      </c>
      <c r="D18" s="35">
        <f>SUM(D4:D17)</f>
        <v>5878.3200000000006</v>
      </c>
      <c r="E18" s="20">
        <f t="shared" ref="E18:K18" si="13">SUM(E4:E5)</f>
        <v>5038.5599999999995</v>
      </c>
      <c r="F18" s="20">
        <f t="shared" si="13"/>
        <v>839.76</v>
      </c>
      <c r="G18" s="20">
        <f t="shared" si="13"/>
        <v>500</v>
      </c>
      <c r="H18" s="20">
        <f t="shared" si="13"/>
        <v>587.83199999999999</v>
      </c>
      <c r="I18" s="20">
        <f t="shared" si="13"/>
        <v>587.83199999999999</v>
      </c>
      <c r="J18" s="20">
        <f t="shared" si="13"/>
        <v>312.41000000000003</v>
      </c>
      <c r="K18" s="20">
        <f t="shared" si="13"/>
        <v>78.11</v>
      </c>
      <c r="L18" s="35">
        <f>SUM(L4:L17)</f>
        <v>35269.919999999998</v>
      </c>
      <c r="M18" s="20">
        <f>SUM(M4:M5)</f>
        <v>0</v>
      </c>
      <c r="N18" s="20">
        <f>SUM(N4:N5)</f>
        <v>0</v>
      </c>
      <c r="O18" s="20">
        <f>SUM(O4:O5)</f>
        <v>399.93</v>
      </c>
      <c r="P18" s="20">
        <f>SUM(P4:P5)</f>
        <v>0.06</v>
      </c>
      <c r="Q18" s="20">
        <f>SUM(Q4:Q17)</f>
        <v>44426</v>
      </c>
      <c r="R18" s="20">
        <f t="shared" ref="R18:W18" si="14">SUM(R4:R17)</f>
        <v>1050</v>
      </c>
      <c r="S18" s="20">
        <f t="shared" si="14"/>
        <v>35</v>
      </c>
      <c r="T18" s="20">
        <f t="shared" si="14"/>
        <v>3530.09</v>
      </c>
      <c r="U18" s="20">
        <f t="shared" si="14"/>
        <v>1565</v>
      </c>
      <c r="V18" s="20">
        <f t="shared" si="14"/>
        <v>16232.310000000001</v>
      </c>
      <c r="W18" s="20">
        <f t="shared" si="14"/>
        <v>60658.310000000005</v>
      </c>
      <c r="Y18" s="20">
        <f>SUM(Y4:Y17)</f>
        <v>1623.2310000000002</v>
      </c>
      <c r="Z18" s="20">
        <f>SUM(Z4:Z17)</f>
        <v>1753.0894800000005</v>
      </c>
      <c r="AA18" s="10">
        <f>SUM(Z18+W18)</f>
        <v>62411.399480000007</v>
      </c>
    </row>
    <row r="19" spans="1:27" ht="17.25" x14ac:dyDescent="0.3">
      <c r="A19" s="16"/>
      <c r="B19" s="17"/>
      <c r="G19" s="17"/>
      <c r="H19" s="17"/>
      <c r="I19" s="17"/>
      <c r="J19" s="17"/>
      <c r="K19" s="17"/>
      <c r="M19" s="17"/>
      <c r="N19" s="17"/>
      <c r="O19" s="17"/>
      <c r="P19" s="17"/>
      <c r="Q19" s="41"/>
      <c r="R19" s="17"/>
      <c r="S19" s="17"/>
      <c r="T19" s="17"/>
      <c r="U19" s="17"/>
      <c r="V19" s="17"/>
      <c r="W19" s="18"/>
      <c r="Y19" s="18"/>
      <c r="Z19" s="18"/>
    </row>
    <row r="20" spans="1:27" x14ac:dyDescent="0.25">
      <c r="C20" s="10"/>
    </row>
    <row r="21" spans="1:27" x14ac:dyDescent="0.25">
      <c r="R21" s="10"/>
      <c r="U21" s="10"/>
    </row>
    <row r="22" spans="1:27" ht="17.25" x14ac:dyDescent="0.3">
      <c r="L22" s="17"/>
      <c r="O22" s="10"/>
      <c r="P22" s="10"/>
      <c r="Q22" s="10"/>
      <c r="V22" s="79"/>
    </row>
  </sheetData>
  <mergeCells count="2">
    <mergeCell ref="A1:W1"/>
    <mergeCell ref="A2:W2"/>
  </mergeCells>
  <pageMargins left="0.25" right="0.25" top="0.75" bottom="0.75" header="0.3" footer="0.3"/>
  <pageSetup scale="78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18"/>
  <sheetViews>
    <sheetView showGridLines="0" workbookViewId="0">
      <selection activeCell="T11" sqref="T11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3107.8</v>
      </c>
      <c r="R4" s="23"/>
      <c r="S4" s="23"/>
      <c r="T4" s="23"/>
      <c r="U4" s="28">
        <v>1360</v>
      </c>
      <c r="V4" s="24">
        <f t="shared" ref="V4:V13" si="0">C4-Q4-S4+U4-R4-T4</f>
        <v>1752.1999999999998</v>
      </c>
      <c r="W4" s="25">
        <f>Q4+V4</f>
        <v>4860</v>
      </c>
      <c r="X4" s="40" t="s">
        <v>26</v>
      </c>
      <c r="Y4" s="49">
        <f>+V4*0.1</f>
        <v>175.22</v>
      </c>
      <c r="Z4" s="49">
        <f>+Y4*1.08</f>
        <v>189.23760000000001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:F6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3101.8</v>
      </c>
      <c r="R5" s="27"/>
      <c r="S5" s="26"/>
      <c r="T5" s="26"/>
      <c r="U5" s="28"/>
      <c r="V5" s="24">
        <f t="shared" si="0"/>
        <v>1898.1999999999998</v>
      </c>
      <c r="W5" s="25">
        <f t="shared" ref="W5:W13" si="4">Q5+V5</f>
        <v>5000</v>
      </c>
      <c r="X5" s="40">
        <v>2</v>
      </c>
      <c r="Y5" s="49">
        <f>+V5*0.1</f>
        <v>189.82</v>
      </c>
      <c r="Z5" s="49">
        <f t="shared" ref="Z5:Z13" si="5">+Y5*1.08</f>
        <v>205.00560000000002</v>
      </c>
    </row>
    <row r="6" spans="1:27" ht="15.75" thickBot="1" x14ac:dyDescent="0.3">
      <c r="A6" s="50">
        <v>16</v>
      </c>
      <c r="B6" s="51" t="s">
        <v>21</v>
      </c>
      <c r="C6" s="52">
        <v>3354</v>
      </c>
      <c r="D6" s="53">
        <v>419.88</v>
      </c>
      <c r="E6" s="54">
        <f t="shared" si="1"/>
        <v>2519.2799999999997</v>
      </c>
      <c r="F6" s="55">
        <f t="shared" si="2"/>
        <v>419.88</v>
      </c>
      <c r="G6" s="56">
        <v>250</v>
      </c>
      <c r="H6" s="56">
        <f>($E$6+$F$6)*0.1</f>
        <v>293.916</v>
      </c>
      <c r="I6" s="56">
        <f>($E$6+$F$6)*0.1</f>
        <v>293.916</v>
      </c>
      <c r="J6" s="56">
        <v>0</v>
      </c>
      <c r="K6" s="56">
        <v>0</v>
      </c>
      <c r="L6" s="57">
        <f t="shared" si="3"/>
        <v>2939.16</v>
      </c>
      <c r="M6" s="58"/>
      <c r="N6" s="59"/>
      <c r="O6" s="60"/>
      <c r="P6" s="60"/>
      <c r="Q6" s="61">
        <v>5356</v>
      </c>
      <c r="R6" s="62"/>
      <c r="S6" s="63"/>
      <c r="T6" s="63"/>
      <c r="U6" s="64"/>
      <c r="V6" s="65">
        <v>0</v>
      </c>
      <c r="W6" s="66">
        <f>Q6+V6</f>
        <v>5356</v>
      </c>
      <c r="X6" s="67" t="s">
        <v>30</v>
      </c>
      <c r="Y6" s="68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25</v>
      </c>
      <c r="B7" s="46" t="s">
        <v>31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3115.4</v>
      </c>
      <c r="R7" s="27">
        <v>150</v>
      </c>
      <c r="S7" s="26">
        <v>35</v>
      </c>
      <c r="T7" s="26"/>
      <c r="U7" s="28"/>
      <c r="V7" s="24">
        <f t="shared" si="0"/>
        <v>199.59999999999991</v>
      </c>
      <c r="W7" s="25">
        <f t="shared" si="4"/>
        <v>3315</v>
      </c>
      <c r="X7" s="40" t="s">
        <v>26</v>
      </c>
      <c r="Y7" s="49">
        <f t="shared" si="6"/>
        <v>19.959999999999994</v>
      </c>
      <c r="Z7" s="49">
        <f t="shared" si="5"/>
        <v>21.556799999999996</v>
      </c>
    </row>
    <row r="8" spans="1:27" ht="15.75" thickBot="1" x14ac:dyDescent="0.3">
      <c r="A8" s="42">
        <v>26</v>
      </c>
      <c r="B8" s="47" t="s">
        <v>32</v>
      </c>
      <c r="C8" s="44">
        <v>3500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2903.6</v>
      </c>
      <c r="R8" s="27"/>
      <c r="S8" s="26">
        <v>0</v>
      </c>
      <c r="T8" s="26">
        <v>440</v>
      </c>
      <c r="U8" s="28"/>
      <c r="V8" s="24">
        <f t="shared" si="0"/>
        <v>156.40000000000009</v>
      </c>
      <c r="W8" s="25">
        <f t="shared" si="4"/>
        <v>3060</v>
      </c>
      <c r="X8" s="40" t="s">
        <v>30</v>
      </c>
      <c r="Y8" s="49">
        <f t="shared" si="6"/>
        <v>15.640000000000009</v>
      </c>
      <c r="Z8" s="49">
        <f t="shared" si="5"/>
        <v>16.891200000000012</v>
      </c>
    </row>
    <row r="9" spans="1:27" ht="15.75" thickBot="1" x14ac:dyDescent="0.3">
      <c r="A9" s="42">
        <v>27</v>
      </c>
      <c r="B9" s="47" t="s">
        <v>33</v>
      </c>
      <c r="C9" s="44">
        <v>5000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3101.8</v>
      </c>
      <c r="R9" s="27">
        <v>225</v>
      </c>
      <c r="S9" s="26">
        <v>140</v>
      </c>
      <c r="T9" s="26"/>
      <c r="U9" s="28"/>
      <c r="V9" s="24">
        <f t="shared" si="0"/>
        <v>1533.1999999999998</v>
      </c>
      <c r="W9" s="25">
        <f t="shared" si="4"/>
        <v>4635</v>
      </c>
      <c r="X9" s="40" t="s">
        <v>26</v>
      </c>
      <c r="Y9" s="49">
        <f t="shared" si="6"/>
        <v>153.32</v>
      </c>
      <c r="Z9" s="49">
        <f t="shared" si="5"/>
        <v>165.5856</v>
      </c>
    </row>
    <row r="10" spans="1:27" ht="15.75" thickBot="1" x14ac:dyDescent="0.3">
      <c r="A10" s="42">
        <v>28</v>
      </c>
      <c r="B10" s="47" t="s">
        <v>34</v>
      </c>
      <c r="C10" s="44">
        <v>3354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2425.6</v>
      </c>
      <c r="R10" s="27"/>
      <c r="S10" s="26"/>
      <c r="T10" s="48">
        <v>608.66999999999996</v>
      </c>
      <c r="U10" s="28"/>
      <c r="V10" s="24">
        <f t="shared" si="0"/>
        <v>319.73000000000013</v>
      </c>
      <c r="W10" s="25">
        <f t="shared" si="4"/>
        <v>2745.33</v>
      </c>
      <c r="X10" s="40" t="s">
        <v>35</v>
      </c>
      <c r="Y10" s="49">
        <f t="shared" si="6"/>
        <v>31.973000000000013</v>
      </c>
      <c r="Z10" s="49">
        <f t="shared" si="5"/>
        <v>34.530840000000019</v>
      </c>
    </row>
    <row r="11" spans="1:27" ht="15.75" thickBot="1" x14ac:dyDescent="0.3">
      <c r="A11" s="42">
        <v>33</v>
      </c>
      <c r="B11" s="47" t="s">
        <v>36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2297.4</v>
      </c>
      <c r="R11" s="27"/>
      <c r="S11" s="26"/>
      <c r="T11" s="26">
        <v>1331.42</v>
      </c>
      <c r="U11" s="28"/>
      <c r="V11" s="24">
        <f t="shared" si="0"/>
        <v>371.17999999999984</v>
      </c>
      <c r="W11" s="25">
        <f t="shared" si="4"/>
        <v>2668.58</v>
      </c>
      <c r="X11" s="40" t="s">
        <v>35</v>
      </c>
      <c r="Y11" s="49">
        <f t="shared" si="6"/>
        <v>37.117999999999988</v>
      </c>
      <c r="Z11" s="49">
        <f t="shared" si="5"/>
        <v>40.087439999999987</v>
      </c>
    </row>
    <row r="12" spans="1:27" ht="15.75" thickBot="1" x14ac:dyDescent="0.3">
      <c r="A12" s="42">
        <v>34</v>
      </c>
      <c r="B12" s="47" t="s">
        <v>37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3102</v>
      </c>
      <c r="R12" s="27">
        <v>225</v>
      </c>
      <c r="S12" s="26">
        <v>0</v>
      </c>
      <c r="T12" s="26"/>
      <c r="U12" s="28"/>
      <c r="V12" s="24">
        <f t="shared" si="0"/>
        <v>673</v>
      </c>
      <c r="W12" s="25">
        <f t="shared" si="4"/>
        <v>3775</v>
      </c>
      <c r="X12" s="40" t="s">
        <v>35</v>
      </c>
      <c r="Y12" s="49">
        <f t="shared" si="6"/>
        <v>67.3</v>
      </c>
      <c r="Z12" s="49">
        <f t="shared" si="5"/>
        <v>72.683999999999997</v>
      </c>
    </row>
    <row r="13" spans="1:27" ht="15.75" thickBot="1" x14ac:dyDescent="0.3">
      <c r="A13" s="42">
        <v>35</v>
      </c>
      <c r="B13" s="47" t="s">
        <v>38</v>
      </c>
      <c r="C13" s="44">
        <v>4000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3213</v>
      </c>
      <c r="R13" s="27"/>
      <c r="S13" s="26">
        <v>0</v>
      </c>
      <c r="T13" s="26"/>
      <c r="U13" s="28"/>
      <c r="V13" s="24">
        <f t="shared" si="0"/>
        <v>787</v>
      </c>
      <c r="W13" s="25">
        <f t="shared" si="4"/>
        <v>4000</v>
      </c>
      <c r="X13" s="40" t="s">
        <v>35</v>
      </c>
      <c r="Y13" s="49">
        <f t="shared" si="6"/>
        <v>78.7</v>
      </c>
      <c r="Z13" s="49">
        <f t="shared" si="5"/>
        <v>84.996000000000009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SUM(E4:E6)</f>
        <v>7557.8399999999992</v>
      </c>
      <c r="F14" s="20">
        <f t="shared" si="7"/>
        <v>1259.6399999999999</v>
      </c>
      <c r="G14" s="20">
        <f t="shared" si="7"/>
        <v>750</v>
      </c>
      <c r="H14" s="20">
        <f t="shared" si="7"/>
        <v>881.74800000000005</v>
      </c>
      <c r="I14" s="20">
        <f t="shared" si="7"/>
        <v>881.74800000000005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SUM(M4:M6)</f>
        <v>0</v>
      </c>
      <c r="N14" s="20">
        <f>SUM(N4:N6)</f>
        <v>0</v>
      </c>
      <c r="O14" s="20">
        <f>SUM(O4:O6)</f>
        <v>399.93</v>
      </c>
      <c r="P14" s="20">
        <f>SUM(P4:P6)</f>
        <v>0.06</v>
      </c>
      <c r="Q14" s="20">
        <f>SUM(Q4:Q13)</f>
        <v>31724.399999999998</v>
      </c>
      <c r="R14" s="20">
        <f t="shared" ref="R14:W14" si="8">SUM(R4:R13)</f>
        <v>600</v>
      </c>
      <c r="S14" s="20">
        <f t="shared" si="8"/>
        <v>175</v>
      </c>
      <c r="T14" s="20">
        <f t="shared" si="8"/>
        <v>2380.09</v>
      </c>
      <c r="U14" s="20">
        <f>SUM(U4:U13)</f>
        <v>1360</v>
      </c>
      <c r="W14" s="20">
        <f t="shared" si="8"/>
        <v>39414.910000000003</v>
      </c>
      <c r="Y14" s="20">
        <f>SUM(Y4:Y13)</f>
        <v>769.05099999999993</v>
      </c>
      <c r="Z14" s="20">
        <f>SUM(Z4:Z13)</f>
        <v>830.57508000000007</v>
      </c>
      <c r="AA14" s="10">
        <f>SUM(Z14+W14)</f>
        <v>40245.485080000006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17"/>
  <sheetViews>
    <sheetView showGridLines="0" workbookViewId="0">
      <selection activeCell="W13" sqref="W13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1140</v>
      </c>
      <c r="V4" s="24">
        <f t="shared" ref="V4:V12" si="0">C4-Q4-S4+U4-R4-T4</f>
        <v>1285.8000000000002</v>
      </c>
      <c r="W4" s="25">
        <f>Q4+V4</f>
        <v>4640</v>
      </c>
      <c r="X4" s="40" t="s">
        <v>26</v>
      </c>
      <c r="Y4" s="49">
        <f>+V4*0.1</f>
        <v>128.58000000000001</v>
      </c>
      <c r="Z4" s="49">
        <f>+Y4*1.08</f>
        <v>138.86640000000003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2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2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/>
      <c r="U5" s="28"/>
      <c r="V5" s="24">
        <f t="shared" si="0"/>
        <v>1645.6</v>
      </c>
      <c r="W5" s="25">
        <f t="shared" ref="W5:W12" si="4">Q5+V5</f>
        <v>5000</v>
      </c>
      <c r="X5" s="40">
        <v>2</v>
      </c>
      <c r="Y5" s="49">
        <f>+V5*0.1</f>
        <v>164.56</v>
      </c>
      <c r="Z5" s="49">
        <f t="shared" ref="Z5:Z12" si="5">+Y5*1.08</f>
        <v>177.72480000000002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3350</v>
      </c>
      <c r="R6" s="27">
        <v>150</v>
      </c>
      <c r="S6" s="26">
        <v>0</v>
      </c>
      <c r="T6" s="26"/>
      <c r="U6" s="28"/>
      <c r="V6" s="24">
        <f t="shared" si="0"/>
        <v>0</v>
      </c>
      <c r="W6" s="25">
        <f t="shared" si="4"/>
        <v>3350</v>
      </c>
      <c r="X6" s="40" t="s">
        <v>26</v>
      </c>
      <c r="Y6" s="49">
        <f t="shared" ref="Y6:Y12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3393.4</v>
      </c>
      <c r="R7" s="27"/>
      <c r="S7" s="26">
        <v>0</v>
      </c>
      <c r="T7" s="26"/>
      <c r="U7" s="28">
        <v>1125</v>
      </c>
      <c r="V7" s="24">
        <f t="shared" si="0"/>
        <v>1231.5999999999999</v>
      </c>
      <c r="W7" s="25">
        <f t="shared" si="4"/>
        <v>4625</v>
      </c>
      <c r="X7" s="40" t="s">
        <v>30</v>
      </c>
      <c r="Y7" s="49">
        <f t="shared" si="6"/>
        <v>123.16</v>
      </c>
      <c r="Z7" s="49">
        <f t="shared" si="5"/>
        <v>133.0128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375</v>
      </c>
      <c r="S8" s="26">
        <v>140</v>
      </c>
      <c r="T8" s="26"/>
      <c r="U8" s="28"/>
      <c r="V8" s="24">
        <f t="shared" si="0"/>
        <v>1130.5999999999999</v>
      </c>
      <c r="W8" s="25">
        <f t="shared" si="4"/>
        <v>4485</v>
      </c>
      <c r="X8" s="40" t="s">
        <v>26</v>
      </c>
      <c r="Y8" s="49">
        <f t="shared" si="6"/>
        <v>113.06</v>
      </c>
      <c r="Z8" s="49">
        <f t="shared" si="5"/>
        <v>122.10480000000001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2675.6</v>
      </c>
      <c r="R9" s="27"/>
      <c r="S9" s="26"/>
      <c r="T9" s="48">
        <v>608.66999999999996</v>
      </c>
      <c r="U9" s="28"/>
      <c r="V9" s="24">
        <f t="shared" si="0"/>
        <v>69.730000000000132</v>
      </c>
      <c r="W9" s="25">
        <f t="shared" si="4"/>
        <v>2745.33</v>
      </c>
      <c r="X9" s="40" t="s">
        <v>35</v>
      </c>
      <c r="Y9" s="49">
        <f t="shared" si="6"/>
        <v>6.9730000000000132</v>
      </c>
      <c r="Z9" s="49">
        <f t="shared" si="5"/>
        <v>7.5308400000000146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3354.2</v>
      </c>
      <c r="R11" s="27">
        <v>375</v>
      </c>
      <c r="S11" s="26">
        <v>0</v>
      </c>
      <c r="T11" s="26"/>
      <c r="U11" s="28"/>
      <c r="V11" s="24">
        <f t="shared" si="0"/>
        <v>270.80000000000018</v>
      </c>
      <c r="W11" s="25">
        <f t="shared" si="4"/>
        <v>3625</v>
      </c>
      <c r="X11" s="40" t="s">
        <v>35</v>
      </c>
      <c r="Y11" s="49">
        <f t="shared" si="6"/>
        <v>27.08000000000002</v>
      </c>
      <c r="Z11" s="49">
        <f t="shared" si="5"/>
        <v>29.246400000000023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>
        <v>1142.8499999999999</v>
      </c>
      <c r="V12" s="24">
        <f t="shared" si="0"/>
        <v>1683.4499999999998</v>
      </c>
      <c r="W12" s="25">
        <f t="shared" si="4"/>
        <v>5142.8500000000004</v>
      </c>
      <c r="X12" s="40" t="s">
        <v>35</v>
      </c>
      <c r="Y12" s="49">
        <f t="shared" si="6"/>
        <v>168.345</v>
      </c>
      <c r="Z12" s="49">
        <f t="shared" si="5"/>
        <v>181.8126</v>
      </c>
    </row>
    <row r="13" spans="1:27" ht="15.75" thickBot="1" x14ac:dyDescent="0.3">
      <c r="A13" s="36"/>
      <c r="B13" s="37"/>
      <c r="C13" s="38">
        <f>SUM(C4:C12)</f>
        <v>35854</v>
      </c>
      <c r="D13" s="35">
        <f>SUM(D4:D12)</f>
        <v>3778.9200000000005</v>
      </c>
      <c r="E13" s="20">
        <f t="shared" ref="E13:K13" si="7">SUM(E4:E5)</f>
        <v>5038.5599999999995</v>
      </c>
      <c r="F13" s="20">
        <f t="shared" si="7"/>
        <v>839.76</v>
      </c>
      <c r="G13" s="20">
        <f t="shared" si="7"/>
        <v>500</v>
      </c>
      <c r="H13" s="20">
        <f t="shared" si="7"/>
        <v>587.83199999999999</v>
      </c>
      <c r="I13" s="20">
        <f t="shared" si="7"/>
        <v>587.83199999999999</v>
      </c>
      <c r="J13" s="20">
        <f t="shared" si="7"/>
        <v>312.41000000000003</v>
      </c>
      <c r="K13" s="20">
        <f t="shared" si="7"/>
        <v>78.11</v>
      </c>
      <c r="L13" s="35">
        <f>SUM(L4:L12)</f>
        <v>26452.44</v>
      </c>
      <c r="M13" s="20">
        <f>SUM(M4:M5)</f>
        <v>0</v>
      </c>
      <c r="N13" s="20">
        <f>SUM(N4:N5)</f>
        <v>0</v>
      </c>
      <c r="O13" s="20">
        <f>SUM(O4:O5)</f>
        <v>399.93</v>
      </c>
      <c r="P13" s="20">
        <f>SUM(P4:P5)</f>
        <v>0.06</v>
      </c>
      <c r="Q13" s="20">
        <f>SUM(Q4:Q12)</f>
        <v>29754.800000000003</v>
      </c>
      <c r="R13" s="20">
        <f t="shared" ref="R13:W13" si="8">SUM(R4:R12)</f>
        <v>900</v>
      </c>
      <c r="S13" s="20">
        <f t="shared" si="8"/>
        <v>140</v>
      </c>
      <c r="T13" s="20">
        <f t="shared" si="8"/>
        <v>608.66999999999996</v>
      </c>
      <c r="U13" s="20">
        <f>SUM(U4:U12)</f>
        <v>3407.85</v>
      </c>
      <c r="V13" s="20">
        <f>SUM(V4:V12)</f>
        <v>7858.380000000001</v>
      </c>
      <c r="W13" s="20">
        <f t="shared" si="8"/>
        <v>37613.18</v>
      </c>
      <c r="Y13" s="20">
        <f>SUM(Y4:Y12)</f>
        <v>785.83799999999997</v>
      </c>
      <c r="Z13" s="20">
        <f>SUM(Z4:Z12)</f>
        <v>848.70504000000017</v>
      </c>
      <c r="AA13" s="10">
        <f>SUM(Z13+W13)</f>
        <v>38461.885040000001</v>
      </c>
    </row>
    <row r="14" spans="1:27" ht="17.25" x14ac:dyDescent="0.3">
      <c r="A14" s="16"/>
      <c r="B14" s="17"/>
      <c r="G14" s="17"/>
      <c r="H14" s="17"/>
      <c r="I14" s="17"/>
      <c r="J14" s="17"/>
      <c r="K14" s="17"/>
      <c r="M14" s="17"/>
      <c r="N14" s="17"/>
      <c r="O14" s="17"/>
      <c r="P14" s="17"/>
      <c r="Q14" s="41"/>
      <c r="R14" s="17"/>
      <c r="S14" s="17"/>
      <c r="T14" s="17"/>
      <c r="U14" s="17"/>
      <c r="V14" s="17"/>
      <c r="W14" s="18"/>
      <c r="Y14" s="18"/>
      <c r="Z14" s="18"/>
    </row>
    <row r="15" spans="1:27" x14ac:dyDescent="0.25">
      <c r="C15" s="10"/>
    </row>
    <row r="16" spans="1:27" x14ac:dyDescent="0.25">
      <c r="R16" s="10"/>
      <c r="U16" s="10"/>
    </row>
    <row r="17" spans="12:17" ht="17.25" x14ac:dyDescent="0.3">
      <c r="L17" s="17"/>
      <c r="O17" s="10"/>
      <c r="P17" s="10"/>
      <c r="Q17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18"/>
  <sheetViews>
    <sheetView showGridLines="0" workbookViewId="0">
      <selection activeCell="Q4" sqref="Q4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730</v>
      </c>
      <c r="V4" s="24">
        <f t="shared" ref="V4:V11" si="0">C4-Q4-S4+U4-R4-T4</f>
        <v>875.59999999999991</v>
      </c>
      <c r="W4" s="25">
        <f>Q4+V4</f>
        <v>4230</v>
      </c>
      <c r="X4" s="40" t="s">
        <v>26</v>
      </c>
      <c r="Y4" s="49">
        <f>+V4*0.1</f>
        <v>87.56</v>
      </c>
      <c r="Z4" s="49">
        <f>+Y4*1.08</f>
        <v>94.564800000000005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3354.2</v>
      </c>
      <c r="R5" s="27"/>
      <c r="S5" s="26"/>
      <c r="T5" s="26"/>
      <c r="U5" s="28">
        <v>2000</v>
      </c>
      <c r="V5" s="24">
        <f t="shared" si="0"/>
        <v>3645.8</v>
      </c>
      <c r="W5" s="25">
        <f t="shared" ref="W5:W13" si="4">Q5+V5</f>
        <v>7000</v>
      </c>
      <c r="X5" s="40">
        <v>2</v>
      </c>
      <c r="Y5" s="49">
        <f>+V5*0.1</f>
        <v>364.58000000000004</v>
      </c>
      <c r="Z5" s="49">
        <f t="shared" ref="Z5:Z13" si="5">+Y5*1.08</f>
        <v>393.74640000000005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3280</v>
      </c>
      <c r="R6" s="27">
        <v>220</v>
      </c>
      <c r="S6" s="26">
        <v>0</v>
      </c>
      <c r="T6" s="26"/>
      <c r="U6" s="28"/>
      <c r="V6" s="24">
        <f t="shared" si="0"/>
        <v>0</v>
      </c>
      <c r="W6" s="25">
        <f t="shared" si="4"/>
        <v>3280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3354.2</v>
      </c>
      <c r="R7" s="27"/>
      <c r="S7" s="26">
        <v>0</v>
      </c>
      <c r="T7" s="26"/>
      <c r="U7" s="28"/>
      <c r="V7" s="24">
        <f t="shared" si="0"/>
        <v>145.80000000000018</v>
      </c>
      <c r="W7" s="25">
        <f t="shared" si="4"/>
        <v>3500</v>
      </c>
      <c r="X7" s="40" t="s">
        <v>30</v>
      </c>
      <c r="Y7" s="49">
        <f t="shared" si="6"/>
        <v>14.58000000000002</v>
      </c>
      <c r="Z7" s="49">
        <f t="shared" si="5"/>
        <v>15.746400000000023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105</v>
      </c>
      <c r="T8" s="26"/>
      <c r="U8" s="28"/>
      <c r="V8" s="24">
        <f t="shared" si="0"/>
        <v>1165.8000000000002</v>
      </c>
      <c r="W8" s="25">
        <f t="shared" si="4"/>
        <v>4520</v>
      </c>
      <c r="X8" s="40" t="s">
        <v>26</v>
      </c>
      <c r="Y8" s="49">
        <f t="shared" si="6"/>
        <v>116.58000000000003</v>
      </c>
      <c r="Z8" s="49">
        <f t="shared" si="5"/>
        <v>125.90640000000003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2675.8</v>
      </c>
      <c r="R9" s="27"/>
      <c r="S9" s="26"/>
      <c r="T9" s="48">
        <v>608.66999999999996</v>
      </c>
      <c r="U9" s="28"/>
      <c r="V9" s="24">
        <f t="shared" si="0"/>
        <v>69.529999999999859</v>
      </c>
      <c r="W9" s="25">
        <f t="shared" si="4"/>
        <v>2745.33</v>
      </c>
      <c r="X9" s="40" t="s">
        <v>35</v>
      </c>
      <c r="Y9" s="49">
        <f t="shared" si="6"/>
        <v>6.9529999999999861</v>
      </c>
      <c r="Z9" s="49">
        <f t="shared" si="5"/>
        <v>7.509239999999985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3459.4</v>
      </c>
      <c r="R10" s="27"/>
      <c r="S10" s="26"/>
      <c r="T10" s="26"/>
      <c r="U10" s="28"/>
      <c r="V10" s="24">
        <f t="shared" si="0"/>
        <v>540.59999999999991</v>
      </c>
      <c r="W10" s="25">
        <f t="shared" si="4"/>
        <v>4000</v>
      </c>
      <c r="X10" s="40" t="s">
        <v>35</v>
      </c>
      <c r="Y10" s="49">
        <f t="shared" si="6"/>
        <v>54.059999999999995</v>
      </c>
      <c r="Z10" s="49">
        <f t="shared" si="5"/>
        <v>58.384799999999998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3354.4</v>
      </c>
      <c r="R11" s="27">
        <v>375</v>
      </c>
      <c r="S11" s="26">
        <v>0</v>
      </c>
      <c r="T11" s="26"/>
      <c r="U11" s="28"/>
      <c r="V11" s="24">
        <f t="shared" si="0"/>
        <v>270.59999999999991</v>
      </c>
      <c r="W11" s="25">
        <f t="shared" si="4"/>
        <v>3625</v>
      </c>
      <c r="X11" s="40" t="s">
        <v>35</v>
      </c>
      <c r="Y11" s="49">
        <f t="shared" si="6"/>
        <v>27.059999999999992</v>
      </c>
      <c r="Z11" s="49">
        <f t="shared" si="5"/>
        <v>29.224799999999991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ref="E12" si="7">D12*6</f>
        <v>2519.2799999999997</v>
      </c>
      <c r="F12" s="21"/>
      <c r="G12" s="22"/>
      <c r="H12" s="22"/>
      <c r="I12" s="22"/>
      <c r="J12" s="22"/>
      <c r="K12" s="22"/>
      <c r="L12" s="34">
        <f t="shared" ref="L12" si="8">+E12+D12</f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ref="V12:V13" si="9">C12-Q12-S12+U12-R12-T12</f>
        <v>540.80000000000018</v>
      </c>
      <c r="W12" s="25">
        <f t="shared" ref="W12" si="10">Q12+V12</f>
        <v>4000</v>
      </c>
      <c r="X12" s="40" t="s">
        <v>35</v>
      </c>
      <c r="Y12" s="49">
        <f t="shared" ref="Y12" si="11">+V12*0.1</f>
        <v>54.08000000000002</v>
      </c>
      <c r="Z12" s="49">
        <f t="shared" ref="Z12" si="12">+Y12*1.08</f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2795</v>
      </c>
      <c r="R13" s="27"/>
      <c r="S13" s="26">
        <v>0</v>
      </c>
      <c r="T13" s="26">
        <v>559</v>
      </c>
      <c r="U13" s="28"/>
      <c r="V13" s="24">
        <f t="shared" si="9"/>
        <v>0</v>
      </c>
      <c r="W13" s="25">
        <f t="shared" si="4"/>
        <v>2795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13">SUM(E4:E5)</f>
        <v>5038.5599999999995</v>
      </c>
      <c r="F14" s="20">
        <f t="shared" si="13"/>
        <v>839.76</v>
      </c>
      <c r="G14" s="20">
        <f t="shared" si="13"/>
        <v>500</v>
      </c>
      <c r="H14" s="20">
        <f t="shared" si="13"/>
        <v>587.83199999999999</v>
      </c>
      <c r="I14" s="20">
        <f t="shared" si="13"/>
        <v>587.83199999999999</v>
      </c>
      <c r="J14" s="20">
        <f t="shared" si="13"/>
        <v>312.41000000000003</v>
      </c>
      <c r="K14" s="20">
        <f t="shared" si="13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32440.800000000003</v>
      </c>
      <c r="R14" s="20">
        <f t="shared" ref="R14:W14" si="14">SUM(R4:R13)</f>
        <v>970</v>
      </c>
      <c r="S14" s="20">
        <f t="shared" si="14"/>
        <v>105</v>
      </c>
      <c r="T14" s="20">
        <f t="shared" si="14"/>
        <v>1167.67</v>
      </c>
      <c r="U14" s="20">
        <f>SUM(U4:U13)</f>
        <v>2730</v>
      </c>
      <c r="V14" s="20">
        <f>SUM(V4:V13)</f>
        <v>7254.53</v>
      </c>
      <c r="W14" s="20">
        <f t="shared" si="14"/>
        <v>39695.33</v>
      </c>
      <c r="Y14" s="20">
        <f>SUM(Y4:Y13)</f>
        <v>725.45299999999997</v>
      </c>
      <c r="Z14" s="20">
        <f>SUM(Z4:Z13)</f>
        <v>783.48924000000022</v>
      </c>
      <c r="AA14" s="10">
        <f>SUM(Z14+W14)</f>
        <v>40478.819240000004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18"/>
  <sheetViews>
    <sheetView showGridLines="0" workbookViewId="0">
      <selection activeCell="R3" sqref="R3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3354.2</v>
      </c>
      <c r="R4" s="23"/>
      <c r="S4" s="23"/>
      <c r="T4" s="23"/>
      <c r="U4" s="28">
        <v>1630</v>
      </c>
      <c r="V4" s="24">
        <f t="shared" ref="V4:V12" si="0">C4-Q4-S4+U4-R4-T4</f>
        <v>1775.8000000000002</v>
      </c>
      <c r="W4" s="25">
        <f>Q4+V4</f>
        <v>5130</v>
      </c>
      <c r="X4" s="40" t="s">
        <v>26</v>
      </c>
      <c r="Y4" s="49">
        <f>+V4*0.1</f>
        <v>177.58000000000004</v>
      </c>
      <c r="Z4" s="49">
        <f>+Y4*1.08</f>
        <v>191.78640000000004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3393.2</v>
      </c>
      <c r="R5" s="27"/>
      <c r="S5" s="26"/>
      <c r="T5" s="26"/>
      <c r="U5" s="28">
        <v>178.57</v>
      </c>
      <c r="V5" s="24">
        <f t="shared" si="0"/>
        <v>1785.3700000000001</v>
      </c>
      <c r="W5" s="25">
        <f t="shared" ref="W5:W13" si="4">Q5+V5</f>
        <v>5178.57</v>
      </c>
      <c r="X5" s="40">
        <v>2</v>
      </c>
      <c r="Y5" s="49">
        <f>+V5*0.1</f>
        <v>178.53700000000003</v>
      </c>
      <c r="Z5" s="49">
        <f t="shared" ref="Z5:Z13" si="5">+Y5*1.08</f>
        <v>192.81996000000004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3350</v>
      </c>
      <c r="R6" s="27">
        <v>150</v>
      </c>
      <c r="S6" s="26">
        <v>0</v>
      </c>
      <c r="T6" s="26"/>
      <c r="U6" s="28"/>
      <c r="V6" s="24">
        <f t="shared" si="0"/>
        <v>0</v>
      </c>
      <c r="W6" s="25">
        <f t="shared" si="4"/>
        <v>3350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3469.6</v>
      </c>
      <c r="R7" s="27"/>
      <c r="S7" s="26">
        <v>0</v>
      </c>
      <c r="T7" s="26"/>
      <c r="U7" s="28">
        <v>375</v>
      </c>
      <c r="V7" s="24">
        <f t="shared" si="0"/>
        <v>405.40000000000009</v>
      </c>
      <c r="W7" s="25">
        <f t="shared" si="4"/>
        <v>3875</v>
      </c>
      <c r="X7" s="40" t="s">
        <v>30</v>
      </c>
      <c r="Y7" s="49">
        <f t="shared" si="6"/>
        <v>40.540000000000013</v>
      </c>
      <c r="Z7" s="49">
        <f t="shared" si="5"/>
        <v>43.783200000000015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3354.4</v>
      </c>
      <c r="R8" s="27">
        <v>300</v>
      </c>
      <c r="S8" s="26">
        <v>140</v>
      </c>
      <c r="T8" s="26"/>
      <c r="U8" s="28"/>
      <c r="V8" s="24">
        <f t="shared" si="0"/>
        <v>1205.5999999999999</v>
      </c>
      <c r="W8" s="25">
        <f t="shared" si="4"/>
        <v>4560</v>
      </c>
      <c r="X8" s="40" t="s">
        <v>26</v>
      </c>
      <c r="Y8" s="49">
        <f t="shared" si="6"/>
        <v>120.56</v>
      </c>
      <c r="Z8" s="49">
        <f t="shared" si="5"/>
        <v>130.20480000000001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2660.6</v>
      </c>
      <c r="R9" s="27"/>
      <c r="S9" s="26"/>
      <c r="T9" s="48">
        <v>608.66999999999996</v>
      </c>
      <c r="U9" s="28"/>
      <c r="V9" s="24">
        <f t="shared" si="0"/>
        <v>84.730000000000132</v>
      </c>
      <c r="W9" s="25">
        <f t="shared" si="4"/>
        <v>2745.33</v>
      </c>
      <c r="X9" s="40" t="s">
        <v>35</v>
      </c>
      <c r="Y9" s="49">
        <f t="shared" si="6"/>
        <v>8.4730000000000132</v>
      </c>
      <c r="Z9" s="49">
        <f t="shared" si="5"/>
        <v>9.1508400000000147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3459.2</v>
      </c>
      <c r="R10" s="27"/>
      <c r="S10" s="26"/>
      <c r="T10" s="26"/>
      <c r="U10" s="28"/>
      <c r="V10" s="24">
        <f t="shared" si="0"/>
        <v>540.80000000000018</v>
      </c>
      <c r="W10" s="25">
        <f t="shared" si="4"/>
        <v>4000</v>
      </c>
      <c r="X10" s="40" t="s">
        <v>35</v>
      </c>
      <c r="Y10" s="49">
        <f t="shared" si="6"/>
        <v>54.08000000000002</v>
      </c>
      <c r="Z10" s="49">
        <f t="shared" si="5"/>
        <v>58.406400000000026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2879</v>
      </c>
      <c r="R11" s="27">
        <v>300</v>
      </c>
      <c r="S11" s="26">
        <v>0</v>
      </c>
      <c r="T11" s="26">
        <v>668.57</v>
      </c>
      <c r="U11" s="28"/>
      <c r="V11" s="24">
        <f t="shared" si="0"/>
        <v>152.42999999999995</v>
      </c>
      <c r="W11" s="25">
        <f t="shared" si="4"/>
        <v>3031.43</v>
      </c>
      <c r="X11" s="40" t="s">
        <v>35</v>
      </c>
      <c r="Y11" s="49">
        <f t="shared" si="6"/>
        <v>15.242999999999995</v>
      </c>
      <c r="Z11" s="49">
        <f t="shared" si="5"/>
        <v>16.462439999999997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3459.4</v>
      </c>
      <c r="R12" s="27"/>
      <c r="S12" s="26">
        <v>0</v>
      </c>
      <c r="T12" s="26"/>
      <c r="U12" s="28"/>
      <c r="V12" s="24">
        <f t="shared" si="0"/>
        <v>540.59999999999991</v>
      </c>
      <c r="W12" s="25">
        <f t="shared" si="4"/>
        <v>4000</v>
      </c>
      <c r="X12" s="40" t="s">
        <v>35</v>
      </c>
      <c r="Y12" s="49">
        <f t="shared" si="6"/>
        <v>54.059999999999995</v>
      </c>
      <c r="Z12" s="49">
        <f t="shared" si="5"/>
        <v>58.384799999999998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3354.2</v>
      </c>
      <c r="R13" s="27"/>
      <c r="S13" s="26">
        <v>0</v>
      </c>
      <c r="T13" s="26"/>
      <c r="U13" s="28"/>
      <c r="V13" s="24"/>
      <c r="W13" s="25">
        <f t="shared" si="4"/>
        <v>3354.2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32733.800000000003</v>
      </c>
      <c r="R14" s="20">
        <f t="shared" ref="R14:W14" si="8">SUM(R4:R13)</f>
        <v>750</v>
      </c>
      <c r="S14" s="20">
        <f t="shared" si="8"/>
        <v>140</v>
      </c>
      <c r="T14" s="20">
        <f t="shared" si="8"/>
        <v>1277.24</v>
      </c>
      <c r="U14" s="20">
        <f>SUM(U4:U13)</f>
        <v>2183.5699999999997</v>
      </c>
      <c r="V14" s="20">
        <f>SUM(V4:V13)</f>
        <v>6490.7300000000014</v>
      </c>
      <c r="W14" s="20">
        <f t="shared" si="8"/>
        <v>39224.53</v>
      </c>
      <c r="Y14" s="20">
        <f>SUM(Y4:Y13)</f>
        <v>649.07300000000009</v>
      </c>
      <c r="Z14" s="20">
        <f>SUM(Z4:Z13)</f>
        <v>700.99884000000031</v>
      </c>
      <c r="AA14" s="10">
        <f>SUM(Z14+W14)</f>
        <v>39925.528839999999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A18"/>
  <sheetViews>
    <sheetView showGridLines="0" topLeftCell="C1" workbookViewId="0">
      <selection activeCell="V15" sqref="V15"/>
    </sheetView>
  </sheetViews>
  <sheetFormatPr defaultColWidth="11.5703125" defaultRowHeight="15" x14ac:dyDescent="0.25"/>
  <cols>
    <col min="2" max="2" width="45.140625" customWidth="1"/>
    <col min="3" max="3" width="14.42578125" customWidth="1"/>
    <col min="4" max="4" width="9.140625" customWidth="1"/>
    <col min="5" max="7" width="9" hidden="1" customWidth="1"/>
    <col min="8" max="10" width="7.5703125" hidden="1" customWidth="1"/>
    <col min="11" max="11" width="6.5703125" hidden="1" customWidth="1"/>
    <col min="12" max="12" width="10" hidden="1" customWidth="1"/>
    <col min="13" max="13" width="4.7109375" hidden="1" customWidth="1"/>
    <col min="14" max="14" width="5.7109375" hidden="1" customWidth="1"/>
    <col min="15" max="15" width="7.5703125" hidden="1" customWidth="1"/>
    <col min="16" max="16" width="5.5703125" hidden="1" customWidth="1"/>
    <col min="20" max="20" width="13.140625" customWidth="1"/>
    <col min="22" max="22" width="13.85546875" customWidth="1"/>
    <col min="23" max="23" width="17.140625" customWidth="1"/>
    <col min="24" max="24" width="11.140625" customWidth="1"/>
    <col min="25" max="27" width="11.42578125" customWidth="1"/>
  </cols>
  <sheetData>
    <row r="1" spans="1:27" x14ac:dyDescent="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7" ht="15.75" thickBot="1" x14ac:dyDescent="0.3">
      <c r="A2" s="105" t="s">
        <v>48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</row>
    <row r="3" spans="1:27" ht="77.25" customHeight="1" thickBot="1" x14ac:dyDescent="0.3">
      <c r="A3" s="1"/>
      <c r="B3" s="45" t="s">
        <v>1</v>
      </c>
      <c r="C3" s="3" t="s">
        <v>2</v>
      </c>
      <c r="D3" s="2" t="s">
        <v>3</v>
      </c>
      <c r="E3" s="4" t="s">
        <v>4</v>
      </c>
      <c r="F3" s="4" t="s">
        <v>5</v>
      </c>
      <c r="G3" s="31" t="s">
        <v>6</v>
      </c>
      <c r="H3" s="32" t="s">
        <v>7</v>
      </c>
      <c r="I3" s="31" t="s">
        <v>8</v>
      </c>
      <c r="J3" s="33" t="s">
        <v>22</v>
      </c>
      <c r="K3" s="33" t="s">
        <v>23</v>
      </c>
      <c r="L3" s="33" t="s">
        <v>9</v>
      </c>
      <c r="M3" s="3" t="s">
        <v>10</v>
      </c>
      <c r="N3" s="2" t="s">
        <v>11</v>
      </c>
      <c r="O3" s="3" t="s">
        <v>12</v>
      </c>
      <c r="P3" s="3" t="s">
        <v>24</v>
      </c>
      <c r="Q3" s="3" t="s">
        <v>13</v>
      </c>
      <c r="R3" s="3" t="s">
        <v>14</v>
      </c>
      <c r="S3" s="3" t="s">
        <v>25</v>
      </c>
      <c r="T3" s="3" t="s">
        <v>15</v>
      </c>
      <c r="U3" s="2" t="s">
        <v>16</v>
      </c>
      <c r="V3" s="3" t="s">
        <v>17</v>
      </c>
      <c r="W3" s="5" t="s">
        <v>18</v>
      </c>
      <c r="X3" s="39" t="s">
        <v>27</v>
      </c>
      <c r="Y3" s="39" t="s">
        <v>28</v>
      </c>
      <c r="Z3" s="39" t="s">
        <v>29</v>
      </c>
    </row>
    <row r="4" spans="1:27" ht="15.75" thickBot="1" x14ac:dyDescent="0.3">
      <c r="A4" s="42">
        <v>3</v>
      </c>
      <c r="B4" s="46" t="s">
        <v>19</v>
      </c>
      <c r="C4" s="43">
        <v>3500</v>
      </c>
      <c r="D4" s="6">
        <v>419.88</v>
      </c>
      <c r="E4" s="7">
        <f>D4*6</f>
        <v>2519.2799999999997</v>
      </c>
      <c r="F4" s="8">
        <f>D4</f>
        <v>419.88</v>
      </c>
      <c r="G4" s="13">
        <v>250</v>
      </c>
      <c r="H4" s="13">
        <f>($E$4+$F$4)*0.1</f>
        <v>293.916</v>
      </c>
      <c r="I4" s="13">
        <f>($E$4+$F$4)*0.1</f>
        <v>293.916</v>
      </c>
      <c r="J4" s="13">
        <v>312.41000000000003</v>
      </c>
      <c r="K4" s="13">
        <v>78.11</v>
      </c>
      <c r="L4" s="34">
        <f>+E4+D4</f>
        <v>2939.16</v>
      </c>
      <c r="M4" s="29"/>
      <c r="N4" s="12"/>
      <c r="O4" s="11">
        <v>399.93</v>
      </c>
      <c r="P4" s="9">
        <v>0.06</v>
      </c>
      <c r="Q4" s="19">
        <v>3354.4</v>
      </c>
      <c r="R4" s="23"/>
      <c r="S4" s="23"/>
      <c r="T4" s="23"/>
      <c r="U4" s="28">
        <v>1290</v>
      </c>
      <c r="V4" s="24">
        <f t="shared" ref="V4:V12" si="0">C4-Q4-S4+U4-R4-T4</f>
        <v>1435.6</v>
      </c>
      <c r="W4" s="25">
        <f>Q4+V4</f>
        <v>4790</v>
      </c>
      <c r="X4" s="40" t="s">
        <v>26</v>
      </c>
      <c r="Y4" s="49">
        <f>+V4*0.1</f>
        <v>143.56</v>
      </c>
      <c r="Z4" s="49">
        <f>+Y4*1.08</f>
        <v>155.04480000000001</v>
      </c>
    </row>
    <row r="5" spans="1:27" ht="15.75" thickBot="1" x14ac:dyDescent="0.3">
      <c r="A5" s="42">
        <v>10</v>
      </c>
      <c r="B5" s="46" t="s">
        <v>20</v>
      </c>
      <c r="C5" s="44">
        <v>5000</v>
      </c>
      <c r="D5" s="6">
        <v>419.88</v>
      </c>
      <c r="E5" s="7">
        <f t="shared" ref="E5:E13" si="1">D5*6</f>
        <v>2519.2799999999997</v>
      </c>
      <c r="F5" s="8">
        <f t="shared" ref="F5" si="2">D5</f>
        <v>419.88</v>
      </c>
      <c r="G5" s="13">
        <v>250</v>
      </c>
      <c r="H5" s="13">
        <f>($E$5+$F$5)*0.1</f>
        <v>293.916</v>
      </c>
      <c r="I5" s="13">
        <f>($E$5+$F$5)*0.1</f>
        <v>293.916</v>
      </c>
      <c r="J5" s="13">
        <v>0</v>
      </c>
      <c r="K5" s="13">
        <v>0</v>
      </c>
      <c r="L5" s="34">
        <f t="shared" ref="L5:L13" si="3">+E5+D5</f>
        <v>2939.16</v>
      </c>
      <c r="M5" s="29"/>
      <c r="N5" s="12"/>
      <c r="O5" s="11"/>
      <c r="P5" s="9"/>
      <c r="Q5" s="19">
        <v>3354.4</v>
      </c>
      <c r="R5" s="27"/>
      <c r="S5" s="26"/>
      <c r="T5" s="26"/>
      <c r="U5" s="28"/>
      <c r="V5" s="24">
        <f t="shared" si="0"/>
        <v>1645.6</v>
      </c>
      <c r="W5" s="25">
        <f t="shared" ref="W5:W13" si="4">Q5+V5</f>
        <v>5000</v>
      </c>
      <c r="X5" s="40">
        <v>2</v>
      </c>
      <c r="Y5" s="49">
        <f>+V5*0.1</f>
        <v>164.56</v>
      </c>
      <c r="Z5" s="49">
        <f t="shared" ref="Z5:Z13" si="5">+Y5*1.08</f>
        <v>177.72480000000002</v>
      </c>
    </row>
    <row r="6" spans="1:27" ht="15.75" thickBot="1" x14ac:dyDescent="0.3">
      <c r="A6" s="42">
        <v>25</v>
      </c>
      <c r="B6" s="46" t="s">
        <v>31</v>
      </c>
      <c r="C6" s="44">
        <v>3500</v>
      </c>
      <c r="D6" s="6">
        <v>419.88</v>
      </c>
      <c r="E6" s="7">
        <f t="shared" si="1"/>
        <v>2519.2799999999997</v>
      </c>
      <c r="F6" s="21"/>
      <c r="G6" s="22"/>
      <c r="H6" s="22"/>
      <c r="I6" s="22"/>
      <c r="J6" s="22"/>
      <c r="K6" s="22"/>
      <c r="L6" s="34">
        <f t="shared" si="3"/>
        <v>2939.16</v>
      </c>
      <c r="M6" s="30"/>
      <c r="N6" s="15"/>
      <c r="O6" s="14"/>
      <c r="P6" s="14"/>
      <c r="Q6" s="19">
        <v>3125</v>
      </c>
      <c r="R6" s="27">
        <v>375</v>
      </c>
      <c r="S6" s="26">
        <v>0</v>
      </c>
      <c r="T6" s="26"/>
      <c r="U6" s="28"/>
      <c r="V6" s="24">
        <f t="shared" si="0"/>
        <v>0</v>
      </c>
      <c r="W6" s="25">
        <f t="shared" si="4"/>
        <v>3125</v>
      </c>
      <c r="X6" s="40" t="s">
        <v>26</v>
      </c>
      <c r="Y6" s="49">
        <f t="shared" ref="Y6:Y13" si="6">+V6*0.1</f>
        <v>0</v>
      </c>
      <c r="Z6" s="49">
        <f t="shared" si="5"/>
        <v>0</v>
      </c>
    </row>
    <row r="7" spans="1:27" ht="15.75" thickBot="1" x14ac:dyDescent="0.3">
      <c r="A7" s="42">
        <v>26</v>
      </c>
      <c r="B7" s="47" t="s">
        <v>32</v>
      </c>
      <c r="C7" s="44">
        <v>3500</v>
      </c>
      <c r="D7" s="6">
        <v>419.88</v>
      </c>
      <c r="E7" s="7">
        <f t="shared" si="1"/>
        <v>2519.2799999999997</v>
      </c>
      <c r="F7" s="21"/>
      <c r="G7" s="22"/>
      <c r="H7" s="22"/>
      <c r="I7" s="22"/>
      <c r="J7" s="22"/>
      <c r="K7" s="22"/>
      <c r="L7" s="34">
        <f t="shared" si="3"/>
        <v>2939.16</v>
      </c>
      <c r="M7" s="30"/>
      <c r="N7" s="15"/>
      <c r="O7" s="14"/>
      <c r="P7" s="14"/>
      <c r="Q7" s="19">
        <v>3354.4</v>
      </c>
      <c r="R7" s="27"/>
      <c r="S7" s="26">
        <v>0</v>
      </c>
      <c r="T7" s="26"/>
      <c r="U7" s="28"/>
      <c r="V7" s="24">
        <f t="shared" si="0"/>
        <v>145.59999999999991</v>
      </c>
      <c r="W7" s="25">
        <f t="shared" si="4"/>
        <v>3500</v>
      </c>
      <c r="X7" s="40" t="s">
        <v>30</v>
      </c>
      <c r="Y7" s="49">
        <f t="shared" si="6"/>
        <v>14.559999999999992</v>
      </c>
      <c r="Z7" s="49">
        <f t="shared" si="5"/>
        <v>15.724799999999991</v>
      </c>
    </row>
    <row r="8" spans="1:27" ht="15.75" thickBot="1" x14ac:dyDescent="0.3">
      <c r="A8" s="42">
        <v>27</v>
      </c>
      <c r="B8" s="47" t="s">
        <v>33</v>
      </c>
      <c r="C8" s="44">
        <v>5000</v>
      </c>
      <c r="D8" s="6">
        <v>419.88</v>
      </c>
      <c r="E8" s="7">
        <f t="shared" si="1"/>
        <v>2519.2799999999997</v>
      </c>
      <c r="F8" s="21"/>
      <c r="G8" s="22"/>
      <c r="H8" s="22"/>
      <c r="I8" s="22"/>
      <c r="J8" s="22"/>
      <c r="K8" s="22"/>
      <c r="L8" s="34">
        <f t="shared" si="3"/>
        <v>2939.16</v>
      </c>
      <c r="M8" s="30"/>
      <c r="N8" s="15"/>
      <c r="O8" s="14"/>
      <c r="P8" s="14"/>
      <c r="Q8" s="19">
        <v>3354.2</v>
      </c>
      <c r="R8" s="27">
        <v>375</v>
      </c>
      <c r="S8" s="26">
        <v>140</v>
      </c>
      <c r="T8" s="26"/>
      <c r="U8" s="28"/>
      <c r="V8" s="24">
        <f t="shared" si="0"/>
        <v>1130.8000000000002</v>
      </c>
      <c r="W8" s="25">
        <f t="shared" si="4"/>
        <v>4485</v>
      </c>
      <c r="X8" s="40" t="s">
        <v>26</v>
      </c>
      <c r="Y8" s="49">
        <f t="shared" si="6"/>
        <v>113.08000000000003</v>
      </c>
      <c r="Z8" s="49">
        <f t="shared" si="5"/>
        <v>122.12640000000003</v>
      </c>
    </row>
    <row r="9" spans="1:27" ht="15.75" thickBot="1" x14ac:dyDescent="0.3">
      <c r="A9" s="42">
        <v>28</v>
      </c>
      <c r="B9" s="47" t="s">
        <v>34</v>
      </c>
      <c r="C9" s="44">
        <v>3354</v>
      </c>
      <c r="D9" s="6">
        <v>419.88</v>
      </c>
      <c r="E9" s="7">
        <f t="shared" si="1"/>
        <v>2519.2799999999997</v>
      </c>
      <c r="F9" s="21"/>
      <c r="G9" s="22"/>
      <c r="H9" s="22"/>
      <c r="I9" s="22"/>
      <c r="J9" s="22"/>
      <c r="K9" s="22"/>
      <c r="L9" s="34">
        <f t="shared" si="3"/>
        <v>2939.16</v>
      </c>
      <c r="M9" s="30"/>
      <c r="N9" s="15"/>
      <c r="O9" s="14"/>
      <c r="P9" s="14"/>
      <c r="Q9" s="19">
        <v>2681.4</v>
      </c>
      <c r="R9" s="27"/>
      <c r="S9" s="26"/>
      <c r="T9" s="48">
        <v>602.96</v>
      </c>
      <c r="U9" s="28"/>
      <c r="V9" s="24">
        <f t="shared" si="0"/>
        <v>69.639999999999873</v>
      </c>
      <c r="W9" s="25">
        <f t="shared" si="4"/>
        <v>2751.04</v>
      </c>
      <c r="X9" s="40" t="s">
        <v>35</v>
      </c>
      <c r="Y9" s="49">
        <f t="shared" si="6"/>
        <v>6.963999999999988</v>
      </c>
      <c r="Z9" s="49">
        <f t="shared" si="5"/>
        <v>7.5211199999999874</v>
      </c>
    </row>
    <row r="10" spans="1:27" ht="15.75" thickBot="1" x14ac:dyDescent="0.3">
      <c r="A10" s="42">
        <v>33</v>
      </c>
      <c r="B10" s="47" t="s">
        <v>36</v>
      </c>
      <c r="C10" s="44">
        <v>4000</v>
      </c>
      <c r="D10" s="6">
        <v>419.88</v>
      </c>
      <c r="E10" s="7">
        <f t="shared" si="1"/>
        <v>2519.2799999999997</v>
      </c>
      <c r="F10" s="21"/>
      <c r="G10" s="22"/>
      <c r="H10" s="22"/>
      <c r="I10" s="22"/>
      <c r="J10" s="22"/>
      <c r="K10" s="22"/>
      <c r="L10" s="34">
        <f t="shared" si="3"/>
        <v>2939.16</v>
      </c>
      <c r="M10" s="30"/>
      <c r="N10" s="15"/>
      <c r="O10" s="14"/>
      <c r="P10" s="14"/>
      <c r="Q10" s="19">
        <v>2613</v>
      </c>
      <c r="R10" s="27"/>
      <c r="S10" s="26"/>
      <c r="T10" s="26">
        <v>1331.42</v>
      </c>
      <c r="U10" s="28"/>
      <c r="V10" s="24">
        <f t="shared" si="0"/>
        <v>55.579999999999927</v>
      </c>
      <c r="W10" s="25">
        <f t="shared" si="4"/>
        <v>2668.58</v>
      </c>
      <c r="X10" s="40" t="s">
        <v>35</v>
      </c>
      <c r="Y10" s="49">
        <f t="shared" si="6"/>
        <v>5.5579999999999927</v>
      </c>
      <c r="Z10" s="49">
        <f t="shared" si="5"/>
        <v>6.0026399999999924</v>
      </c>
    </row>
    <row r="11" spans="1:27" ht="15.75" thickBot="1" x14ac:dyDescent="0.3">
      <c r="A11" s="42">
        <v>34</v>
      </c>
      <c r="B11" s="47" t="s">
        <v>37</v>
      </c>
      <c r="C11" s="44">
        <v>4000</v>
      </c>
      <c r="D11" s="6">
        <v>419.88</v>
      </c>
      <c r="E11" s="7">
        <f t="shared" si="1"/>
        <v>2519.2799999999997</v>
      </c>
      <c r="F11" s="21"/>
      <c r="G11" s="22"/>
      <c r="H11" s="22"/>
      <c r="I11" s="22"/>
      <c r="J11" s="22"/>
      <c r="K11" s="22"/>
      <c r="L11" s="34">
        <f t="shared" si="3"/>
        <v>2939.16</v>
      </c>
      <c r="M11" s="30"/>
      <c r="N11" s="15"/>
      <c r="O11" s="14"/>
      <c r="P11" s="14"/>
      <c r="Q11" s="19">
        <v>3238.8</v>
      </c>
      <c r="R11" s="27">
        <v>375</v>
      </c>
      <c r="S11" s="26">
        <v>0</v>
      </c>
      <c r="T11" s="26">
        <v>251.42</v>
      </c>
      <c r="U11" s="28"/>
      <c r="V11" s="24">
        <f t="shared" si="0"/>
        <v>134.77999999999983</v>
      </c>
      <c r="W11" s="25">
        <f t="shared" si="4"/>
        <v>3373.58</v>
      </c>
      <c r="X11" s="40" t="s">
        <v>35</v>
      </c>
      <c r="Y11" s="49">
        <f t="shared" si="6"/>
        <v>13.477999999999984</v>
      </c>
      <c r="Z11" s="49">
        <f t="shared" si="5"/>
        <v>14.556239999999983</v>
      </c>
    </row>
    <row r="12" spans="1:27" ht="15.75" thickBot="1" x14ac:dyDescent="0.3">
      <c r="A12" s="42">
        <v>35</v>
      </c>
      <c r="B12" s="47" t="s">
        <v>38</v>
      </c>
      <c r="C12" s="44">
        <v>4000</v>
      </c>
      <c r="D12" s="6">
        <v>419.88</v>
      </c>
      <c r="E12" s="7">
        <f t="shared" si="1"/>
        <v>2519.2799999999997</v>
      </c>
      <c r="F12" s="21"/>
      <c r="G12" s="22"/>
      <c r="H12" s="22"/>
      <c r="I12" s="22"/>
      <c r="J12" s="22"/>
      <c r="K12" s="22"/>
      <c r="L12" s="34">
        <f t="shared" si="3"/>
        <v>2939.16</v>
      </c>
      <c r="M12" s="30"/>
      <c r="N12" s="15"/>
      <c r="O12" s="14"/>
      <c r="P12" s="14"/>
      <c r="Q12" s="19">
        <v>3459.2</v>
      </c>
      <c r="R12" s="27"/>
      <c r="S12" s="26">
        <v>0</v>
      </c>
      <c r="T12" s="26"/>
      <c r="U12" s="28"/>
      <c r="V12" s="24">
        <f t="shared" si="0"/>
        <v>540.80000000000018</v>
      </c>
      <c r="W12" s="25">
        <f t="shared" si="4"/>
        <v>4000</v>
      </c>
      <c r="X12" s="40" t="s">
        <v>35</v>
      </c>
      <c r="Y12" s="49">
        <f t="shared" si="6"/>
        <v>54.08000000000002</v>
      </c>
      <c r="Z12" s="49">
        <f t="shared" si="5"/>
        <v>58.406400000000026</v>
      </c>
    </row>
    <row r="13" spans="1:27" ht="15.75" thickBot="1" x14ac:dyDescent="0.3">
      <c r="A13" s="42">
        <v>36</v>
      </c>
      <c r="B13" s="47" t="s">
        <v>45</v>
      </c>
      <c r="C13" s="44">
        <v>3354</v>
      </c>
      <c r="D13" s="6">
        <v>419.88</v>
      </c>
      <c r="E13" s="7">
        <f t="shared" si="1"/>
        <v>2519.2799999999997</v>
      </c>
      <c r="F13" s="21"/>
      <c r="G13" s="22"/>
      <c r="H13" s="22"/>
      <c r="I13" s="22"/>
      <c r="J13" s="22"/>
      <c r="K13" s="22"/>
      <c r="L13" s="34">
        <f t="shared" si="3"/>
        <v>2939.16</v>
      </c>
      <c r="M13" s="30"/>
      <c r="N13" s="15"/>
      <c r="O13" s="14"/>
      <c r="P13" s="14"/>
      <c r="Q13" s="19">
        <v>3354.4</v>
      </c>
      <c r="R13" s="27"/>
      <c r="S13" s="26">
        <v>0</v>
      </c>
      <c r="T13" s="26"/>
      <c r="U13" s="28"/>
      <c r="V13" s="24"/>
      <c r="W13" s="25">
        <f t="shared" si="4"/>
        <v>3354.4</v>
      </c>
      <c r="X13" s="40" t="s">
        <v>35</v>
      </c>
      <c r="Y13" s="49">
        <f t="shared" si="6"/>
        <v>0</v>
      </c>
      <c r="Z13" s="49">
        <f t="shared" si="5"/>
        <v>0</v>
      </c>
    </row>
    <row r="14" spans="1:27" ht="15.75" thickBot="1" x14ac:dyDescent="0.3">
      <c r="A14" s="36"/>
      <c r="B14" s="37"/>
      <c r="C14" s="38">
        <f>SUM(C4:C13)</f>
        <v>39208</v>
      </c>
      <c r="D14" s="35">
        <f>SUM(D4:D13)</f>
        <v>4198.8</v>
      </c>
      <c r="E14" s="20">
        <f t="shared" ref="E14:K14" si="7">SUM(E4:E5)</f>
        <v>5038.5599999999995</v>
      </c>
      <c r="F14" s="20">
        <f t="shared" si="7"/>
        <v>839.76</v>
      </c>
      <c r="G14" s="20">
        <f t="shared" si="7"/>
        <v>500</v>
      </c>
      <c r="H14" s="20">
        <f t="shared" si="7"/>
        <v>587.83199999999999</v>
      </c>
      <c r="I14" s="20">
        <f t="shared" si="7"/>
        <v>587.83199999999999</v>
      </c>
      <c r="J14" s="20">
        <f t="shared" si="7"/>
        <v>312.41000000000003</v>
      </c>
      <c r="K14" s="20">
        <f t="shared" si="7"/>
        <v>78.11</v>
      </c>
      <c r="L14" s="35">
        <f>SUM(L4:L13)</f>
        <v>29391.599999999999</v>
      </c>
      <c r="M14" s="20">
        <f>SUM(M4:M5)</f>
        <v>0</v>
      </c>
      <c r="N14" s="20">
        <f>SUM(N4:N5)</f>
        <v>0</v>
      </c>
      <c r="O14" s="20">
        <f>SUM(O4:O5)</f>
        <v>399.93</v>
      </c>
      <c r="P14" s="20">
        <f>SUM(P4:P5)</f>
        <v>0.06</v>
      </c>
      <c r="Q14" s="20">
        <f>SUM(Q4:Q13)</f>
        <v>31889.200000000001</v>
      </c>
      <c r="R14" s="20">
        <f t="shared" ref="R14:W14" si="8">SUM(R4:R13)</f>
        <v>1125</v>
      </c>
      <c r="S14" s="20">
        <f t="shared" si="8"/>
        <v>140</v>
      </c>
      <c r="T14" s="20">
        <f t="shared" si="8"/>
        <v>2185.8000000000002</v>
      </c>
      <c r="U14" s="20">
        <f>SUM(U4:U13)</f>
        <v>1290</v>
      </c>
      <c r="V14" s="20">
        <f>SUM(V4:V13)</f>
        <v>5158.3999999999996</v>
      </c>
      <c r="W14" s="20">
        <f t="shared" si="8"/>
        <v>37047.600000000006</v>
      </c>
      <c r="Y14" s="20">
        <f>SUM(Y4:Y13)</f>
        <v>515.84</v>
      </c>
      <c r="Z14" s="20">
        <f>SUM(Z4:Z13)</f>
        <v>557.10720000000015</v>
      </c>
      <c r="AA14" s="10">
        <f>SUM(Z14+W14)</f>
        <v>37604.707200000004</v>
      </c>
    </row>
    <row r="15" spans="1:27" ht="17.25" x14ac:dyDescent="0.3">
      <c r="A15" s="16"/>
      <c r="B15" s="17"/>
      <c r="G15" s="17"/>
      <c r="H15" s="17"/>
      <c r="I15" s="17"/>
      <c r="J15" s="17"/>
      <c r="K15" s="17"/>
      <c r="M15" s="17"/>
      <c r="N15" s="17"/>
      <c r="O15" s="17"/>
      <c r="P15" s="17"/>
      <c r="Q15" s="41"/>
      <c r="R15" s="17"/>
      <c r="S15" s="17"/>
      <c r="T15" s="17"/>
      <c r="U15" s="17"/>
      <c r="V15" s="17"/>
      <c r="W15" s="18"/>
      <c r="Y15" s="18"/>
      <c r="Z15" s="18"/>
    </row>
    <row r="16" spans="1:27" x14ac:dyDescent="0.25">
      <c r="C16" s="10"/>
    </row>
    <row r="17" spans="12:21" x14ac:dyDescent="0.25">
      <c r="R17" s="10"/>
      <c r="U17" s="10"/>
    </row>
    <row r="18" spans="12:21" ht="17.25" x14ac:dyDescent="0.3">
      <c r="L18" s="17"/>
      <c r="O18" s="10"/>
      <c r="P18" s="10"/>
      <c r="Q18" s="10"/>
    </row>
  </sheetData>
  <mergeCells count="2">
    <mergeCell ref="A1:W1"/>
    <mergeCell ref="A2:W2"/>
  </mergeCells>
  <pageMargins left="0.7" right="0.7" top="0.75" bottom="0.75" header="0.3" footer="0.3"/>
  <pageSetup scale="7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47</vt:i4>
      </vt:variant>
      <vt:variant>
        <vt:lpstr>Named Ranges</vt:lpstr>
      </vt:variant>
      <vt:variant>
        <vt:i4>44</vt:i4>
      </vt:variant>
    </vt:vector>
  </HeadingPairs>
  <TitlesOfParts>
    <vt:vector size="91" baseType="lpstr">
      <vt:lpstr>Nom 01</vt:lpstr>
      <vt:lpstr>Nom 02</vt:lpstr>
      <vt:lpstr>Nom 03</vt:lpstr>
      <vt:lpstr>Nom 04</vt:lpstr>
      <vt:lpstr>Nom 05</vt:lpstr>
      <vt:lpstr>Nom 06</vt:lpstr>
      <vt:lpstr>Nom 07</vt:lpstr>
      <vt:lpstr>Nom 08</vt:lpstr>
      <vt:lpstr>Nom 09</vt:lpstr>
      <vt:lpstr>Nom 10</vt:lpstr>
      <vt:lpstr>Nom 11</vt:lpstr>
      <vt:lpstr>Nom 12</vt:lpstr>
      <vt:lpstr>Nom 13</vt:lpstr>
      <vt:lpstr>Nom 14</vt:lpstr>
      <vt:lpstr>Nom 15</vt:lpstr>
      <vt:lpstr>Nom 16</vt:lpstr>
      <vt:lpstr>Nom 16 Correccion</vt:lpstr>
      <vt:lpstr>Nom 17</vt:lpstr>
      <vt:lpstr>Nom 18</vt:lpstr>
      <vt:lpstr>Nom 19</vt:lpstr>
      <vt:lpstr>Nom 20</vt:lpstr>
      <vt:lpstr>Nom 21</vt:lpstr>
      <vt:lpstr>Nom 22</vt:lpstr>
      <vt:lpstr>Nom 23</vt:lpstr>
      <vt:lpstr>Nom 24</vt:lpstr>
      <vt:lpstr>Nom 25</vt:lpstr>
      <vt:lpstr>Nom 26</vt:lpstr>
      <vt:lpstr>Nom 27</vt:lpstr>
      <vt:lpstr>Nom 28</vt:lpstr>
      <vt:lpstr>Nom 29</vt:lpstr>
      <vt:lpstr>Nom 30</vt:lpstr>
      <vt:lpstr>Nom 31</vt:lpstr>
      <vt:lpstr>Nom 32</vt:lpstr>
      <vt:lpstr>Nom 33</vt:lpstr>
      <vt:lpstr>Nom 34</vt:lpstr>
      <vt:lpstr>Nom 35</vt:lpstr>
      <vt:lpstr>Nom 36</vt:lpstr>
      <vt:lpstr>Nom 37</vt:lpstr>
      <vt:lpstr>Nom 38</vt:lpstr>
      <vt:lpstr>Nom 39</vt:lpstr>
      <vt:lpstr>Nom 40</vt:lpstr>
      <vt:lpstr>Nom 41</vt:lpstr>
      <vt:lpstr>Nom 42</vt:lpstr>
      <vt:lpstr>Nom 43</vt:lpstr>
      <vt:lpstr>Nom 44</vt:lpstr>
      <vt:lpstr>Nom 45</vt:lpstr>
      <vt:lpstr>Nom 46</vt:lpstr>
      <vt:lpstr>'Nom 01'!Print_Area</vt:lpstr>
      <vt:lpstr>'Nom 02'!Print_Area</vt:lpstr>
      <vt:lpstr>'Nom 03'!Print_Area</vt:lpstr>
      <vt:lpstr>'Nom 05'!Print_Area</vt:lpstr>
      <vt:lpstr>'Nom 06'!Print_Area</vt:lpstr>
      <vt:lpstr>'Nom 07'!Print_Area</vt:lpstr>
      <vt:lpstr>'Nom 08'!Print_Area</vt:lpstr>
      <vt:lpstr>'Nom 09'!Print_Area</vt:lpstr>
      <vt:lpstr>'Nom 10'!Print_Area</vt:lpstr>
      <vt:lpstr>'Nom 11'!Print_Area</vt:lpstr>
      <vt:lpstr>'Nom 12'!Print_Area</vt:lpstr>
      <vt:lpstr>'Nom 13'!Print_Area</vt:lpstr>
      <vt:lpstr>'Nom 14'!Print_Area</vt:lpstr>
      <vt:lpstr>'Nom 15'!Print_Area</vt:lpstr>
      <vt:lpstr>'Nom 17'!Print_Area</vt:lpstr>
      <vt:lpstr>'Nom 18'!Print_Area</vt:lpstr>
      <vt:lpstr>'Nom 19'!Print_Area</vt:lpstr>
      <vt:lpstr>'Nom 20'!Print_Area</vt:lpstr>
      <vt:lpstr>'Nom 21'!Print_Area</vt:lpstr>
      <vt:lpstr>'Nom 22'!Print_Area</vt:lpstr>
      <vt:lpstr>'Nom 23'!Print_Area</vt:lpstr>
      <vt:lpstr>'Nom 24'!Print_Area</vt:lpstr>
      <vt:lpstr>'Nom 25'!Print_Area</vt:lpstr>
      <vt:lpstr>'Nom 26'!Print_Area</vt:lpstr>
      <vt:lpstr>'Nom 27'!Print_Area</vt:lpstr>
      <vt:lpstr>'Nom 28'!Print_Area</vt:lpstr>
      <vt:lpstr>'Nom 29'!Print_Area</vt:lpstr>
      <vt:lpstr>'Nom 30'!Print_Area</vt:lpstr>
      <vt:lpstr>'Nom 31'!Print_Area</vt:lpstr>
      <vt:lpstr>'Nom 32'!Print_Area</vt:lpstr>
      <vt:lpstr>'Nom 33'!Print_Area</vt:lpstr>
      <vt:lpstr>'Nom 34'!Print_Area</vt:lpstr>
      <vt:lpstr>'Nom 35'!Print_Area</vt:lpstr>
      <vt:lpstr>'Nom 36'!Print_Area</vt:lpstr>
      <vt:lpstr>'Nom 37'!Print_Area</vt:lpstr>
      <vt:lpstr>'Nom 38'!Print_Area</vt:lpstr>
      <vt:lpstr>'Nom 39'!Print_Area</vt:lpstr>
      <vt:lpstr>'Nom 40'!Print_Area</vt:lpstr>
      <vt:lpstr>'Nom 41'!Print_Area</vt:lpstr>
      <vt:lpstr>'Nom 42'!Print_Area</vt:lpstr>
      <vt:lpstr>'Nom 43'!Print_Area</vt:lpstr>
      <vt:lpstr>'Nom 44'!Print_Area</vt:lpstr>
      <vt:lpstr>'Nom 45'!Print_Area</vt:lpstr>
      <vt:lpstr>'Nom 46'!Print_Area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Linda Mitchell Quiroz</cp:lastModifiedBy>
  <cp:lastPrinted>2025-11-13T19:35:57Z</cp:lastPrinted>
  <dcterms:created xsi:type="dcterms:W3CDTF">2023-01-05T19:00:10Z</dcterms:created>
  <dcterms:modified xsi:type="dcterms:W3CDTF">2025-11-13T19:42:49Z</dcterms:modified>
</cp:coreProperties>
</file>