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threadedComments/threadedComment1.xml" ContentType="application/vnd.ms-excel.threaded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threadedComments/threadedComment2.xml" ContentType="application/vnd.ms-excel.threadedcomments+xml"/>
  <Override PartName="/xl/comments10.xml" ContentType="application/vnd.openxmlformats-officedocument.spreadsheetml.comments+xml"/>
  <Override PartName="/xl/threadedComments/threadedComment3.xml" ContentType="application/vnd.ms-excel.threadedcomments+xml"/>
  <Override PartName="/xl/comments11.xml" ContentType="application/vnd.openxmlformats-officedocument.spreadsheetml.comments+xml"/>
  <Override PartName="/xl/threadedComments/threadedComment4.xml" ContentType="application/vnd.ms-excel.threadedcomments+xml"/>
  <Override PartName="/xl/comments12.xml" ContentType="application/vnd.openxmlformats-officedocument.spreadsheetml.comments+xml"/>
  <Override PartName="/xl/threadedComments/threadedComment5.xml" ContentType="application/vnd.ms-excel.threadedcomments+xml"/>
  <Override PartName="/xl/comments13.xml" ContentType="application/vnd.openxmlformats-officedocument.spreadsheetml.comments+xml"/>
  <Override PartName="/xl/threadedComments/threadedComment6.xml" ContentType="application/vnd.ms-excel.threaded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threadedComments/threadedComment7.xml" ContentType="application/vnd.ms-excel.threaded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threadedComments/threadedComment8.xml" ContentType="application/vnd.ms-excel.threadedcomments+xml"/>
  <Override PartName="/xl/comments22.xml" ContentType="application/vnd.openxmlformats-officedocument.spreadsheetml.comments+xml"/>
  <Override PartName="/xl/threadedComments/threadedComment9.xml" ContentType="application/vnd.ms-excel.threadedcomments+xml"/>
  <Override PartName="/xl/comments23.xml" ContentType="application/vnd.openxmlformats-officedocument.spreadsheetml.comments+xml"/>
  <Override PartName="/xl/threadedComments/threadedComment10.xml" ContentType="application/vnd.ms-excel.threaded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threadedComments/threadedComment11.xml" ContentType="application/vnd.ms-excel.threadedcomments+xml"/>
  <Override PartName="/xl/comments26.xml" ContentType="application/vnd.openxmlformats-officedocument.spreadsheetml.comments+xml"/>
  <Override PartName="/xl/threadedComments/threadedComment12.xml" ContentType="application/vnd.ms-excel.threadedcomments+xml"/>
  <Override PartName="/xl/comments27.xml" ContentType="application/vnd.openxmlformats-officedocument.spreadsheetml.comments+xml"/>
  <Override PartName="/xl/threadedComments/threadedComment13.xml" ContentType="application/vnd.ms-excel.threaded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threadedComments/threadedComment14.xml" ContentType="application/vnd.ms-excel.threadedcomments+xml"/>
  <Override PartName="/xl/comments30.xml" ContentType="application/vnd.openxmlformats-officedocument.spreadsheetml.comments+xml"/>
  <Override PartName="/xl/threadedComments/threadedComment15.xml" ContentType="application/vnd.ms-excel.threadedcomments+xml"/>
  <Override PartName="/xl/comments31.xml" ContentType="application/vnd.openxmlformats-officedocument.spreadsheetml.comments+xml"/>
  <Override PartName="/xl/threadedComments/threadedComment16.xml" ContentType="application/vnd.ms-excel.threadedcomments+xml"/>
  <Override PartName="/xl/comments32.xml" ContentType="application/vnd.openxmlformats-officedocument.spreadsheetml.comments+xml"/>
  <Override PartName="/xl/threadedComments/threadedComment17.xml" ContentType="application/vnd.ms-excel.threadedcomments+xml"/>
  <Override PartName="/xl/comments33.xml" ContentType="application/vnd.openxmlformats-officedocument.spreadsheetml.comments+xml"/>
  <Override PartName="/xl/threadedComments/threadedComment18.xml" ContentType="application/vnd.ms-excel.threaded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threadedComments/threadedComment19.xml" ContentType="application/vnd.ms-excel.threadedcomments+xml"/>
  <Override PartName="/xl/comments36.xml" ContentType="application/vnd.openxmlformats-officedocument.spreadsheetml.comments+xml"/>
  <Override PartName="/xl/threadedComments/threadedComment20.xml" ContentType="application/vnd.ms-excel.threadedcomments+xml"/>
  <Override PartName="/xl/comments37.xml" ContentType="application/vnd.openxmlformats-officedocument.spreadsheetml.comments+xml"/>
  <Override PartName="/xl/threadedComments/threadedComment21.xml" ContentType="application/vnd.ms-excel.threadedcomments+xml"/>
  <Override PartName="/xl/comments38.xml" ContentType="application/vnd.openxmlformats-officedocument.spreadsheetml.comments+xml"/>
  <Override PartName="/xl/threadedComments/threadedComment22.xml" ContentType="application/vnd.ms-excel.threadedcomments+xml"/>
  <Override PartName="/xl/comments39.xml" ContentType="application/vnd.openxmlformats-officedocument.spreadsheetml.comments+xml"/>
  <Override PartName="/xl/comments40.xml" ContentType="application/vnd.openxmlformats-officedocument.spreadsheetml.comments+xml"/>
  <Override PartName="/xl/threadedComments/threadedComment23.xml" ContentType="application/vnd.ms-excel.threadedcomments+xml"/>
  <Override PartName="/xl/comments41.xml" ContentType="application/vnd.openxmlformats-officedocument.spreadsheetml.comments+xml"/>
  <Override PartName="/xl/comments42.xml" ContentType="application/vnd.openxmlformats-officedocument.spreadsheetml.comments+xml"/>
  <Override PartName="/xl/threadedComments/threadedComment24.xml" ContentType="application/vnd.ms-excel.threadedcomments+xml"/>
  <Override PartName="/xl/comments43.xml" ContentType="application/vnd.openxmlformats-officedocument.spreadsheetml.comments+xml"/>
  <Override PartName="/xl/comments44.xml" ContentType="application/vnd.openxmlformats-officedocument.spreadsheetml.comments+xml"/>
  <Override PartName="/xl/comments45.xml" ContentType="application/vnd.openxmlformats-officedocument.spreadsheetml.comments+xml"/>
  <Override PartName="/xl/threadedComments/threadedComment25.xml" ContentType="application/vnd.ms-excel.threadedcomments+xml"/>
  <Override PartName="/xl/comments46.xml" ContentType="application/vnd.openxmlformats-officedocument.spreadsheetml.comments+xml"/>
  <Override PartName="/xl/threadedComments/threadedComment26.xml" ContentType="application/vnd.ms-excel.threadedcomments+xml"/>
  <Override PartName="/xl/comments47.xml" ContentType="application/vnd.openxmlformats-officedocument.spreadsheetml.comments+xml"/>
  <Override PartName="/xl/threadedComments/threadedComment27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5.3\Contabilidad\NOMINAS RH\"/>
    </mc:Choice>
  </mc:AlternateContent>
  <xr:revisionPtr revIDLastSave="0" documentId="13_ncr:1_{C5EB754A-DD6B-49A6-BEA4-23FC14A569DA}" xr6:coauthVersionLast="47" xr6:coauthVersionMax="47" xr10:uidLastSave="{00000000-0000-0000-0000-000000000000}"/>
  <bookViews>
    <workbookView xWindow="-120" yWindow="-120" windowWidth="29040" windowHeight="15720" firstSheet="41" activeTab="46" xr2:uid="{00000000-000D-0000-FFFF-FFFF00000000}"/>
  </bookViews>
  <sheets>
    <sheet name="Nom 01" sheetId="54" r:id="rId1"/>
    <sheet name="Nom 02" sheetId="55" r:id="rId2"/>
    <sheet name="Nom 03" sheetId="56" r:id="rId3"/>
    <sheet name="Nom 04" sheetId="57" r:id="rId4"/>
    <sheet name="Nom 05" sheetId="58" r:id="rId5"/>
    <sheet name="Nom 06" sheetId="59" r:id="rId6"/>
    <sheet name="Nom 07" sheetId="60" r:id="rId7"/>
    <sheet name="Nom 08" sheetId="61" r:id="rId8"/>
    <sheet name="Nom 09" sheetId="62" r:id="rId9"/>
    <sheet name="Nom 10" sheetId="63" r:id="rId10"/>
    <sheet name="Nom 11" sheetId="64" r:id="rId11"/>
    <sheet name="Nom 12" sheetId="65" r:id="rId12"/>
    <sheet name="Nom 13" sheetId="66" r:id="rId13"/>
    <sheet name="Nom 14" sheetId="67" r:id="rId14"/>
    <sheet name="Nom 15" sheetId="68" r:id="rId15"/>
    <sheet name="Nom 16" sheetId="69" r:id="rId16"/>
    <sheet name="Nom 16 corr" sheetId="70" r:id="rId17"/>
    <sheet name="Nom 17" sheetId="71" r:id="rId18"/>
    <sheet name="Nom 18" sheetId="72" r:id="rId19"/>
    <sheet name="Nom 19" sheetId="73" r:id="rId20"/>
    <sheet name="Nom 20" sheetId="74" r:id="rId21"/>
    <sheet name="Nom 21" sheetId="75" r:id="rId22"/>
    <sheet name="Nom 22" sheetId="76" r:id="rId23"/>
    <sheet name="Nom 23" sheetId="77" r:id="rId24"/>
    <sheet name="Nom 24" sheetId="78" r:id="rId25"/>
    <sheet name="Nom 25" sheetId="79" r:id="rId26"/>
    <sheet name="Nom 26" sheetId="80" r:id="rId27"/>
    <sheet name="Nom 27" sheetId="81" r:id="rId28"/>
    <sheet name="Nom 28" sheetId="82" r:id="rId29"/>
    <sheet name="Nom 29" sheetId="83" r:id="rId30"/>
    <sheet name="Nom 30" sheetId="84" r:id="rId31"/>
    <sheet name="Nom 31" sheetId="86" r:id="rId32"/>
    <sheet name="Nom 32" sheetId="87" r:id="rId33"/>
    <sheet name="Nom 33" sheetId="88" r:id="rId34"/>
    <sheet name="Nom 34" sheetId="89" r:id="rId35"/>
    <sheet name="Nom 35" sheetId="91" r:id="rId36"/>
    <sheet name="Nom 36" sheetId="93" r:id="rId37"/>
    <sheet name="Nom 37" sheetId="95" r:id="rId38"/>
    <sheet name="Nom 38" sheetId="96" r:id="rId39"/>
    <sheet name="Nom 39" sheetId="98" r:id="rId40"/>
    <sheet name="Nom 40" sheetId="99" r:id="rId41"/>
    <sheet name="Nom 41" sheetId="100" r:id="rId42"/>
    <sheet name="Nom 42" sheetId="101" r:id="rId43"/>
    <sheet name="Nom 43" sheetId="102" r:id="rId44"/>
    <sheet name="Nom 44" sheetId="103" r:id="rId45"/>
    <sheet name="Nom 45" sheetId="104" r:id="rId46"/>
    <sheet name="Nom 46" sheetId="105" r:id="rId47"/>
  </sheets>
  <externalReferences>
    <externalReference r:id="rId48"/>
    <externalReference r:id="rId49"/>
  </externalReferences>
  <definedNames>
    <definedName name="_xlnm._FilterDatabase" localSheetId="0" hidden="1">'Nom 01'!$A$3:$Q$53</definedName>
    <definedName name="_xlnm._FilterDatabase" localSheetId="1" hidden="1">'Nom 02'!$A$3:$Q$57</definedName>
    <definedName name="_xlnm._FilterDatabase" localSheetId="2" hidden="1">'Nom 03'!$A$3:$Q$56</definedName>
    <definedName name="_xlnm._FilterDatabase" localSheetId="3" hidden="1">'Nom 04'!$A$3:$Q$56</definedName>
    <definedName name="_xlnm._FilterDatabase" localSheetId="4" hidden="1">'Nom 05'!$A$3:$Q$56</definedName>
    <definedName name="_xlnm._FilterDatabase" localSheetId="5" hidden="1">'Nom 06'!$A$3:$Q$56</definedName>
    <definedName name="_xlnm._FilterDatabase" localSheetId="6" hidden="1">'Nom 07'!$A$3:$Q$56</definedName>
    <definedName name="_xlnm._FilterDatabase" localSheetId="7" hidden="1">'Nom 08'!$A$3:$Q$57</definedName>
    <definedName name="_xlnm._FilterDatabase" localSheetId="8" hidden="1">'Nom 09'!$A$3:$Q$57</definedName>
    <definedName name="_xlnm._FilterDatabase" localSheetId="9" hidden="1">'Nom 10'!$A$3:$Q$56</definedName>
    <definedName name="_xlnm._FilterDatabase" localSheetId="10" hidden="1">'Nom 11'!$A$3:$Q$56</definedName>
    <definedName name="_xlnm._FilterDatabase" localSheetId="11" hidden="1">'Nom 12'!$A$3:$Q$55</definedName>
    <definedName name="_xlnm._FilterDatabase" localSheetId="12" hidden="1">'Nom 13'!$A$3:$Q$56</definedName>
    <definedName name="_xlnm._FilterDatabase" localSheetId="13" hidden="1">'Nom 14'!$A$3:$Q$56</definedName>
    <definedName name="_xlnm._FilterDatabase" localSheetId="14" hidden="1">'Nom 15'!$A$3:$Q$57</definedName>
    <definedName name="_xlnm._FilterDatabase" localSheetId="15" hidden="1">'Nom 16'!$A$3:$Q$54</definedName>
    <definedName name="_xlnm._FilterDatabase" localSheetId="17" hidden="1">'Nom 17'!$A$3:$Q$56</definedName>
    <definedName name="_xlnm._FilterDatabase" localSheetId="18" hidden="1">'Nom 18'!$A$3:$Q$57</definedName>
    <definedName name="_xlnm._FilterDatabase" localSheetId="19" hidden="1">'Nom 19'!$A$3:$Q$56</definedName>
    <definedName name="_xlnm._FilterDatabase" localSheetId="20" hidden="1">'Nom 20'!$A$3:$Q$57</definedName>
    <definedName name="_xlnm._FilterDatabase" localSheetId="21" hidden="1">'Nom 21'!$A$3:$Q$57</definedName>
    <definedName name="_xlnm._FilterDatabase" localSheetId="22" hidden="1">'Nom 22'!$A$3:$Q$57</definedName>
    <definedName name="_xlnm._FilterDatabase" localSheetId="23" hidden="1">'Nom 23'!$A$3:$Q$57</definedName>
    <definedName name="_xlnm._FilterDatabase" localSheetId="24" hidden="1">'Nom 24'!$A$3:$Q$59</definedName>
    <definedName name="_xlnm._FilterDatabase" localSheetId="25" hidden="1">'Nom 25'!$A$3:$Q$59</definedName>
    <definedName name="_xlnm._FilterDatabase" localSheetId="26" hidden="1">'Nom 26'!$A$3:$Q$60</definedName>
    <definedName name="_xlnm._FilterDatabase" localSheetId="27" hidden="1">'Nom 27'!$A$3:$Q$60</definedName>
    <definedName name="_xlnm._FilterDatabase" localSheetId="28" hidden="1">'Nom 28'!$A$3:$Q$59</definedName>
    <definedName name="_xlnm._FilterDatabase" localSheetId="29" hidden="1">'Nom 29'!$A$3:$Q$60</definedName>
    <definedName name="_xlnm._FilterDatabase" localSheetId="30" hidden="1">'Nom 30'!$A$3:$Q$60</definedName>
    <definedName name="_xlnm._FilterDatabase" localSheetId="31" hidden="1">'Nom 31'!$A$3:$Q$62</definedName>
    <definedName name="_xlnm._FilterDatabase" localSheetId="32" hidden="1">'Nom 32'!$A$3:$Q$62</definedName>
    <definedName name="_xlnm._FilterDatabase" localSheetId="33" hidden="1">'Nom 33'!$A$3:$Q$62</definedName>
    <definedName name="_xlnm._FilterDatabase" localSheetId="34" hidden="1">'Nom 34'!$A$3:$Q$60</definedName>
    <definedName name="_xlnm._FilterDatabase" localSheetId="35" hidden="1">'Nom 35'!$A$3:$Q$63</definedName>
    <definedName name="_xlnm._FilterDatabase" localSheetId="36" hidden="1">'Nom 36'!$A$3:$Q$63</definedName>
    <definedName name="_xlnm._FilterDatabase" localSheetId="37" hidden="1">'Nom 37'!$A$3:$Q$63</definedName>
    <definedName name="_xlnm._FilterDatabase" localSheetId="38" hidden="1">'Nom 38'!$A$3:$Q$63</definedName>
    <definedName name="_xlnm._FilterDatabase" localSheetId="39" hidden="1">'Nom 39'!$A$3:$Q$62</definedName>
    <definedName name="_xlnm._FilterDatabase" localSheetId="40" hidden="1">'Nom 40'!$A$3:$Q$62</definedName>
    <definedName name="_xlnm._FilterDatabase" localSheetId="41" hidden="1">'Nom 41'!$A$3:$Q$62</definedName>
    <definedName name="_xlnm._FilterDatabase" localSheetId="42" hidden="1">'Nom 42'!$A$3:$Q$63</definedName>
    <definedName name="_xlnm._FilterDatabase" localSheetId="43" hidden="1">'Nom 43'!$A$3:$Q$65</definedName>
    <definedName name="_xlnm._FilterDatabase" localSheetId="44" hidden="1">'Nom 44'!$A$3:$Q$66</definedName>
    <definedName name="_xlnm._FilterDatabase" localSheetId="45" hidden="1">'Nom 45'!$A$3:$Q$65</definedName>
    <definedName name="_xlnm._FilterDatabase" localSheetId="46" hidden="1">'Nom 46'!$A$3:$Q$65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0" i="105" l="1"/>
  <c r="K8" i="105"/>
  <c r="M63" i="105" l="1"/>
  <c r="M35" i="105"/>
  <c r="K23" i="105"/>
  <c r="K32" i="105" l="1"/>
  <c r="L67" i="105"/>
  <c r="J67" i="105"/>
  <c r="J68" i="105" s="1"/>
  <c r="I67" i="105"/>
  <c r="I68" i="105" s="1"/>
  <c r="H67" i="105"/>
  <c r="D67" i="105"/>
  <c r="C67" i="105"/>
  <c r="P65" i="105"/>
  <c r="Q65" i="105" s="1"/>
  <c r="M65" i="105"/>
  <c r="N65" i="105" s="1"/>
  <c r="F65" i="105"/>
  <c r="E65" i="105"/>
  <c r="G65" i="105" s="1"/>
  <c r="M64" i="105"/>
  <c r="P64" i="105" s="1"/>
  <c r="Q64" i="105" s="1"/>
  <c r="F64" i="105"/>
  <c r="E64" i="105"/>
  <c r="G64" i="105" s="1"/>
  <c r="N63" i="105"/>
  <c r="F63" i="105"/>
  <c r="G63" i="105" s="1"/>
  <c r="E63" i="105"/>
  <c r="M62" i="105"/>
  <c r="N62" i="105" s="1"/>
  <c r="G62" i="105"/>
  <c r="F62" i="105"/>
  <c r="E62" i="105"/>
  <c r="M61" i="105"/>
  <c r="P61" i="105" s="1"/>
  <c r="Q61" i="105" s="1"/>
  <c r="F61" i="105"/>
  <c r="G61" i="105" s="1"/>
  <c r="E61" i="105"/>
  <c r="M60" i="105"/>
  <c r="P60" i="105" s="1"/>
  <c r="Q60" i="105" s="1"/>
  <c r="F60" i="105"/>
  <c r="E60" i="105"/>
  <c r="G60" i="105" s="1"/>
  <c r="M59" i="105"/>
  <c r="P59" i="105" s="1"/>
  <c r="Q59" i="105" s="1"/>
  <c r="G59" i="105"/>
  <c r="F59" i="105"/>
  <c r="E59" i="105"/>
  <c r="M58" i="105"/>
  <c r="P58" i="105" s="1"/>
  <c r="Q58" i="105" s="1"/>
  <c r="F58" i="105"/>
  <c r="G58" i="105" s="1"/>
  <c r="E58" i="105"/>
  <c r="M57" i="105"/>
  <c r="N57" i="105" s="1"/>
  <c r="F57" i="105"/>
  <c r="E57" i="105"/>
  <c r="G57" i="105" s="1"/>
  <c r="M56" i="105"/>
  <c r="P56" i="105" s="1"/>
  <c r="Q56" i="105" s="1"/>
  <c r="F56" i="105"/>
  <c r="E56" i="105"/>
  <c r="G56" i="105" s="1"/>
  <c r="M55" i="105"/>
  <c r="N55" i="105" s="1"/>
  <c r="F55" i="105"/>
  <c r="E55" i="105"/>
  <c r="G55" i="105" s="1"/>
  <c r="M54" i="105"/>
  <c r="N54" i="105" s="1"/>
  <c r="G54" i="105"/>
  <c r="F54" i="105"/>
  <c r="E54" i="105"/>
  <c r="M53" i="105"/>
  <c r="P53" i="105" s="1"/>
  <c r="Q53" i="105" s="1"/>
  <c r="F53" i="105"/>
  <c r="G53" i="105" s="1"/>
  <c r="E53" i="105"/>
  <c r="M52" i="105"/>
  <c r="P52" i="105" s="1"/>
  <c r="Q52" i="105" s="1"/>
  <c r="F52" i="105"/>
  <c r="E52" i="105"/>
  <c r="G52" i="105" s="1"/>
  <c r="M51" i="105"/>
  <c r="P51" i="105" s="1"/>
  <c r="Q51" i="105" s="1"/>
  <c r="G51" i="105"/>
  <c r="F51" i="105"/>
  <c r="E51" i="105"/>
  <c r="K50" i="105"/>
  <c r="M50" i="105" s="1"/>
  <c r="G50" i="105"/>
  <c r="F50" i="105"/>
  <c r="E50" i="105"/>
  <c r="M49" i="105"/>
  <c r="P49" i="105" s="1"/>
  <c r="Q49" i="105" s="1"/>
  <c r="F49" i="105"/>
  <c r="G49" i="105" s="1"/>
  <c r="E49" i="105"/>
  <c r="M48" i="105"/>
  <c r="N48" i="105" s="1"/>
  <c r="F48" i="105"/>
  <c r="E48" i="105"/>
  <c r="G48" i="105" s="1"/>
  <c r="M47" i="105"/>
  <c r="N47" i="105" s="1"/>
  <c r="F47" i="105"/>
  <c r="E47" i="105"/>
  <c r="G47" i="105" s="1"/>
  <c r="M46" i="105"/>
  <c r="N46" i="105" s="1"/>
  <c r="F46" i="105"/>
  <c r="E46" i="105"/>
  <c r="G46" i="105" s="1"/>
  <c r="M45" i="105"/>
  <c r="N45" i="105" s="1"/>
  <c r="F45" i="105"/>
  <c r="E45" i="105"/>
  <c r="G45" i="105" s="1"/>
  <c r="M44" i="105"/>
  <c r="N44" i="105" s="1"/>
  <c r="G44" i="105"/>
  <c r="F44" i="105"/>
  <c r="E44" i="105"/>
  <c r="M43" i="105"/>
  <c r="N43" i="105" s="1"/>
  <c r="F43" i="105"/>
  <c r="G43" i="105" s="1"/>
  <c r="E43" i="105"/>
  <c r="M42" i="105"/>
  <c r="P42" i="105" s="1"/>
  <c r="Q42" i="105" s="1"/>
  <c r="F42" i="105"/>
  <c r="E42" i="105"/>
  <c r="G42" i="105" s="1"/>
  <c r="M41" i="105"/>
  <c r="P41" i="105" s="1"/>
  <c r="Q41" i="105" s="1"/>
  <c r="G41" i="105"/>
  <c r="F41" i="105"/>
  <c r="E41" i="105"/>
  <c r="M40" i="105"/>
  <c r="P40" i="105" s="1"/>
  <c r="Q40" i="105" s="1"/>
  <c r="F40" i="105"/>
  <c r="G40" i="105" s="1"/>
  <c r="E40" i="105"/>
  <c r="P39" i="105"/>
  <c r="Q39" i="105" s="1"/>
  <c r="M39" i="105"/>
  <c r="N39" i="105" s="1"/>
  <c r="F39" i="105"/>
  <c r="E39" i="105"/>
  <c r="G39" i="105" s="1"/>
  <c r="M38" i="105"/>
  <c r="P38" i="105" s="1"/>
  <c r="Q38" i="105" s="1"/>
  <c r="F38" i="105"/>
  <c r="E38" i="105"/>
  <c r="G38" i="105" s="1"/>
  <c r="M37" i="105"/>
  <c r="N37" i="105" s="1"/>
  <c r="F37" i="105"/>
  <c r="E37" i="105"/>
  <c r="G37" i="105" s="1"/>
  <c r="M36" i="105"/>
  <c r="N36" i="105" s="1"/>
  <c r="G36" i="105"/>
  <c r="F36" i="105"/>
  <c r="E36" i="105"/>
  <c r="N35" i="105"/>
  <c r="F35" i="105"/>
  <c r="G35" i="105" s="1"/>
  <c r="E35" i="105"/>
  <c r="M34" i="105"/>
  <c r="P34" i="105" s="1"/>
  <c r="Q34" i="105" s="1"/>
  <c r="F34" i="105"/>
  <c r="E34" i="105"/>
  <c r="G34" i="105" s="1"/>
  <c r="M33" i="105"/>
  <c r="P33" i="105" s="1"/>
  <c r="Q33" i="105" s="1"/>
  <c r="G33" i="105"/>
  <c r="F33" i="105"/>
  <c r="E33" i="105"/>
  <c r="M32" i="105"/>
  <c r="G32" i="105"/>
  <c r="F32" i="105"/>
  <c r="E32" i="105"/>
  <c r="M31" i="105"/>
  <c r="P31" i="105" s="1"/>
  <c r="Q31" i="105" s="1"/>
  <c r="F31" i="105"/>
  <c r="G31" i="105" s="1"/>
  <c r="E31" i="105"/>
  <c r="N30" i="105"/>
  <c r="F30" i="105"/>
  <c r="E30" i="105"/>
  <c r="G30" i="105" s="1"/>
  <c r="M29" i="105"/>
  <c r="P29" i="105" s="1"/>
  <c r="Q29" i="105" s="1"/>
  <c r="F29" i="105"/>
  <c r="E29" i="105"/>
  <c r="G29" i="105" s="1"/>
  <c r="M28" i="105"/>
  <c r="N28" i="105" s="1"/>
  <c r="F28" i="105"/>
  <c r="E28" i="105"/>
  <c r="G28" i="105" s="1"/>
  <c r="M27" i="105"/>
  <c r="N27" i="105" s="1"/>
  <c r="G27" i="105"/>
  <c r="F27" i="105"/>
  <c r="E27" i="105"/>
  <c r="M26" i="105"/>
  <c r="N26" i="105" s="1"/>
  <c r="F26" i="105"/>
  <c r="G26" i="105" s="1"/>
  <c r="E26" i="105"/>
  <c r="M25" i="105"/>
  <c r="P25" i="105" s="1"/>
  <c r="Q25" i="105" s="1"/>
  <c r="K25" i="105"/>
  <c r="F25" i="105"/>
  <c r="G25" i="105" s="1"/>
  <c r="E25" i="105"/>
  <c r="M24" i="105"/>
  <c r="P24" i="105" s="1"/>
  <c r="Q24" i="105" s="1"/>
  <c r="F24" i="105"/>
  <c r="E24" i="105"/>
  <c r="G24" i="105" s="1"/>
  <c r="M23" i="105"/>
  <c r="F23" i="105"/>
  <c r="E23" i="105"/>
  <c r="G23" i="105" s="1"/>
  <c r="M22" i="105"/>
  <c r="P22" i="105" s="1"/>
  <c r="Q22" i="105" s="1"/>
  <c r="G22" i="105"/>
  <c r="F22" i="105"/>
  <c r="E22" i="105"/>
  <c r="M21" i="105"/>
  <c r="P21" i="105" s="1"/>
  <c r="Q21" i="105" s="1"/>
  <c r="F21" i="105"/>
  <c r="G21" i="105" s="1"/>
  <c r="E21" i="105"/>
  <c r="M20" i="105"/>
  <c r="N20" i="105" s="1"/>
  <c r="F20" i="105"/>
  <c r="E20" i="105"/>
  <c r="G20" i="105" s="1"/>
  <c r="M19" i="105"/>
  <c r="N19" i="105" s="1"/>
  <c r="F19" i="105"/>
  <c r="E19" i="105"/>
  <c r="G19" i="105" s="1"/>
  <c r="M18" i="105"/>
  <c r="N18" i="105" s="1"/>
  <c r="F18" i="105"/>
  <c r="E18" i="105"/>
  <c r="G18" i="105" s="1"/>
  <c r="M17" i="105"/>
  <c r="N17" i="105" s="1"/>
  <c r="F17" i="105"/>
  <c r="E17" i="105"/>
  <c r="G17" i="105" s="1"/>
  <c r="M16" i="105"/>
  <c r="N16" i="105" s="1"/>
  <c r="F16" i="105"/>
  <c r="G16" i="105" s="1"/>
  <c r="E16" i="105"/>
  <c r="M15" i="105"/>
  <c r="P15" i="105" s="1"/>
  <c r="Q15" i="105" s="1"/>
  <c r="F15" i="105"/>
  <c r="E15" i="105"/>
  <c r="G15" i="105" s="1"/>
  <c r="M14" i="105"/>
  <c r="P14" i="105" s="1"/>
  <c r="Q14" i="105" s="1"/>
  <c r="G14" i="105"/>
  <c r="F14" i="105"/>
  <c r="E14" i="105"/>
  <c r="M13" i="105"/>
  <c r="P13" i="105" s="1"/>
  <c r="Q13" i="105" s="1"/>
  <c r="F13" i="105"/>
  <c r="G13" i="105" s="1"/>
  <c r="E13" i="105"/>
  <c r="M12" i="105"/>
  <c r="P12" i="105" s="1"/>
  <c r="Q12" i="105" s="1"/>
  <c r="F12" i="105"/>
  <c r="E12" i="105"/>
  <c r="G12" i="105" s="1"/>
  <c r="M11" i="105"/>
  <c r="P11" i="105" s="1"/>
  <c r="Q11" i="105" s="1"/>
  <c r="F11" i="105"/>
  <c r="E11" i="105"/>
  <c r="G11" i="105" s="1"/>
  <c r="M10" i="105"/>
  <c r="N10" i="105" s="1"/>
  <c r="F10" i="105"/>
  <c r="E10" i="105"/>
  <c r="G10" i="105" s="1"/>
  <c r="M9" i="105"/>
  <c r="N9" i="105" s="1"/>
  <c r="F9" i="105"/>
  <c r="E9" i="105"/>
  <c r="G9" i="105" s="1"/>
  <c r="M8" i="105"/>
  <c r="N8" i="105" s="1"/>
  <c r="F8" i="105"/>
  <c r="G8" i="105" s="1"/>
  <c r="E8" i="105"/>
  <c r="M7" i="105"/>
  <c r="P7" i="105" s="1"/>
  <c r="Q7" i="105" s="1"/>
  <c r="F7" i="105"/>
  <c r="E7" i="105"/>
  <c r="G7" i="105" s="1"/>
  <c r="M6" i="105"/>
  <c r="P6" i="105" s="1"/>
  <c r="Q6" i="105" s="1"/>
  <c r="G6" i="105"/>
  <c r="F6" i="105"/>
  <c r="E6" i="105"/>
  <c r="M5" i="105"/>
  <c r="P5" i="105" s="1"/>
  <c r="Q5" i="105" s="1"/>
  <c r="F5" i="105"/>
  <c r="G5" i="105" s="1"/>
  <c r="E5" i="105"/>
  <c r="M4" i="105"/>
  <c r="N4" i="105" s="1"/>
  <c r="F4" i="105"/>
  <c r="F67" i="105" s="1"/>
  <c r="E4" i="105"/>
  <c r="G4" i="105" s="1"/>
  <c r="L46" i="104"/>
  <c r="N38" i="105" l="1"/>
  <c r="N64" i="105"/>
  <c r="P43" i="105"/>
  <c r="Q43" i="105" s="1"/>
  <c r="P9" i="105"/>
  <c r="Q9" i="105" s="1"/>
  <c r="P54" i="105"/>
  <c r="Q54" i="105" s="1"/>
  <c r="P47" i="105"/>
  <c r="Q47" i="105" s="1"/>
  <c r="P57" i="105"/>
  <c r="Q57" i="105" s="1"/>
  <c r="N49" i="105"/>
  <c r="N29" i="105"/>
  <c r="P26" i="105"/>
  <c r="Q26" i="105" s="1"/>
  <c r="P19" i="105"/>
  <c r="Q19" i="105" s="1"/>
  <c r="N5" i="105"/>
  <c r="N21" i="105"/>
  <c r="P27" i="105"/>
  <c r="Q27" i="105" s="1"/>
  <c r="N31" i="105"/>
  <c r="N58" i="105"/>
  <c r="P62" i="105"/>
  <c r="Q62" i="105" s="1"/>
  <c r="P36" i="105"/>
  <c r="Q36" i="105" s="1"/>
  <c r="N40" i="105"/>
  <c r="P48" i="105"/>
  <c r="Q48" i="105" s="1"/>
  <c r="N61" i="105"/>
  <c r="P16" i="105"/>
  <c r="Q16" i="105" s="1"/>
  <c r="P20" i="105"/>
  <c r="Q20" i="105" s="1"/>
  <c r="P30" i="105"/>
  <c r="Q30" i="105" s="1"/>
  <c r="P44" i="105"/>
  <c r="Q44" i="105" s="1"/>
  <c r="P17" i="105"/>
  <c r="Q17" i="105" s="1"/>
  <c r="N56" i="105"/>
  <c r="N53" i="105"/>
  <c r="P35" i="105"/>
  <c r="Q35" i="105" s="1"/>
  <c r="N13" i="105"/>
  <c r="N11" i="105"/>
  <c r="P8" i="105"/>
  <c r="Q8" i="105" s="1"/>
  <c r="P50" i="105"/>
  <c r="Q50" i="105" s="1"/>
  <c r="N50" i="105"/>
  <c r="P23" i="105"/>
  <c r="Q23" i="105" s="1"/>
  <c r="N23" i="105"/>
  <c r="G67" i="105"/>
  <c r="P32" i="105"/>
  <c r="Q32" i="105" s="1"/>
  <c r="N32" i="105"/>
  <c r="P4" i="105"/>
  <c r="P10" i="105"/>
  <c r="Q10" i="105" s="1"/>
  <c r="P18" i="105"/>
  <c r="Q18" i="105" s="1"/>
  <c r="P28" i="105"/>
  <c r="Q28" i="105" s="1"/>
  <c r="P37" i="105"/>
  <c r="Q37" i="105" s="1"/>
  <c r="P45" i="105"/>
  <c r="Q45" i="105" s="1"/>
  <c r="P46" i="105"/>
  <c r="Q46" i="105" s="1"/>
  <c r="P55" i="105"/>
  <c r="Q55" i="105" s="1"/>
  <c r="P63" i="105"/>
  <c r="Q63" i="105" s="1"/>
  <c r="K67" i="105"/>
  <c r="N7" i="105"/>
  <c r="N15" i="105"/>
  <c r="N24" i="105"/>
  <c r="N25" i="105"/>
  <c r="N34" i="105"/>
  <c r="N42" i="105"/>
  <c r="N52" i="105"/>
  <c r="N60" i="105"/>
  <c r="E67" i="105"/>
  <c r="M67" i="105"/>
  <c r="N6" i="105"/>
  <c r="N14" i="105"/>
  <c r="N22" i="105"/>
  <c r="N33" i="105"/>
  <c r="N41" i="105"/>
  <c r="N51" i="105"/>
  <c r="N59" i="105"/>
  <c r="N12" i="105"/>
  <c r="H67" i="104"/>
  <c r="M35" i="104"/>
  <c r="N35" i="104" s="1"/>
  <c r="K23" i="104"/>
  <c r="K32" i="104"/>
  <c r="M23" i="104"/>
  <c r="L67" i="104"/>
  <c r="J67" i="104"/>
  <c r="J68" i="104" s="1"/>
  <c r="I67" i="104"/>
  <c r="I68" i="104" s="1"/>
  <c r="D67" i="104"/>
  <c r="C67" i="104"/>
  <c r="M65" i="104"/>
  <c r="P65" i="104" s="1"/>
  <c r="Q65" i="104" s="1"/>
  <c r="F65" i="104"/>
  <c r="E65" i="104"/>
  <c r="M64" i="104"/>
  <c r="P64" i="104" s="1"/>
  <c r="Q64" i="104" s="1"/>
  <c r="F64" i="104"/>
  <c r="E64" i="104"/>
  <c r="M63" i="104"/>
  <c r="N63" i="104" s="1"/>
  <c r="F63" i="104"/>
  <c r="E63" i="104"/>
  <c r="G63" i="104" s="1"/>
  <c r="M62" i="104"/>
  <c r="P62" i="104" s="1"/>
  <c r="Q62" i="104" s="1"/>
  <c r="F62" i="104"/>
  <c r="E62" i="104"/>
  <c r="G62" i="104" s="1"/>
  <c r="M61" i="104"/>
  <c r="P61" i="104" s="1"/>
  <c r="Q61" i="104" s="1"/>
  <c r="F61" i="104"/>
  <c r="E61" i="104"/>
  <c r="M60" i="104"/>
  <c r="N60" i="104" s="1"/>
  <c r="F60" i="104"/>
  <c r="E60" i="104"/>
  <c r="M59" i="104"/>
  <c r="P59" i="104" s="1"/>
  <c r="Q59" i="104" s="1"/>
  <c r="F59" i="104"/>
  <c r="E59" i="104"/>
  <c r="M58" i="104"/>
  <c r="P58" i="104" s="1"/>
  <c r="Q58" i="104" s="1"/>
  <c r="F58" i="104"/>
  <c r="E58" i="104"/>
  <c r="G58" i="104" s="1"/>
  <c r="M57" i="104"/>
  <c r="N57" i="104" s="1"/>
  <c r="F57" i="104"/>
  <c r="E57" i="104"/>
  <c r="M56" i="104"/>
  <c r="P56" i="104" s="1"/>
  <c r="Q56" i="104" s="1"/>
  <c r="F56" i="104"/>
  <c r="E56" i="104"/>
  <c r="M55" i="104"/>
  <c r="N55" i="104" s="1"/>
  <c r="F55" i="104"/>
  <c r="E55" i="104"/>
  <c r="M54" i="104"/>
  <c r="P54" i="104" s="1"/>
  <c r="Q54" i="104" s="1"/>
  <c r="F54" i="104"/>
  <c r="E54" i="104"/>
  <c r="M53" i="104"/>
  <c r="P53" i="104" s="1"/>
  <c r="Q53" i="104" s="1"/>
  <c r="F53" i="104"/>
  <c r="E53" i="104"/>
  <c r="M52" i="104"/>
  <c r="N52" i="104" s="1"/>
  <c r="F52" i="104"/>
  <c r="E52" i="104"/>
  <c r="M51" i="104"/>
  <c r="P51" i="104" s="1"/>
  <c r="Q51" i="104" s="1"/>
  <c r="F51" i="104"/>
  <c r="E51" i="104"/>
  <c r="M50" i="104"/>
  <c r="P50" i="104" s="1"/>
  <c r="Q50" i="104" s="1"/>
  <c r="K50" i="104"/>
  <c r="F50" i="104"/>
  <c r="E50" i="104"/>
  <c r="M49" i="104"/>
  <c r="P49" i="104" s="1"/>
  <c r="Q49" i="104" s="1"/>
  <c r="F49" i="104"/>
  <c r="E49" i="104"/>
  <c r="M48" i="104"/>
  <c r="P48" i="104" s="1"/>
  <c r="Q48" i="104" s="1"/>
  <c r="F48" i="104"/>
  <c r="E48" i="104"/>
  <c r="M47" i="104"/>
  <c r="N47" i="104" s="1"/>
  <c r="F47" i="104"/>
  <c r="E47" i="104"/>
  <c r="M46" i="104"/>
  <c r="N46" i="104" s="1"/>
  <c r="F46" i="104"/>
  <c r="E46" i="104"/>
  <c r="G46" i="104" s="1"/>
  <c r="M45" i="104"/>
  <c r="P45" i="104" s="1"/>
  <c r="Q45" i="104" s="1"/>
  <c r="F45" i="104"/>
  <c r="E45" i="104"/>
  <c r="G45" i="104" s="1"/>
  <c r="M44" i="104"/>
  <c r="P44" i="104" s="1"/>
  <c r="Q44" i="104" s="1"/>
  <c r="F44" i="104"/>
  <c r="E44" i="104"/>
  <c r="M43" i="104"/>
  <c r="P43" i="104" s="1"/>
  <c r="Q43" i="104" s="1"/>
  <c r="F43" i="104"/>
  <c r="E43" i="104"/>
  <c r="M42" i="104"/>
  <c r="P42" i="104" s="1"/>
  <c r="Q42" i="104" s="1"/>
  <c r="F42" i="104"/>
  <c r="E42" i="104"/>
  <c r="G42" i="104" s="1"/>
  <c r="M41" i="104"/>
  <c r="P41" i="104" s="1"/>
  <c r="Q41" i="104" s="1"/>
  <c r="F41" i="104"/>
  <c r="E41" i="104"/>
  <c r="M40" i="104"/>
  <c r="P40" i="104" s="1"/>
  <c r="Q40" i="104" s="1"/>
  <c r="F40" i="104"/>
  <c r="E40" i="104"/>
  <c r="M39" i="104"/>
  <c r="P39" i="104" s="1"/>
  <c r="Q39" i="104" s="1"/>
  <c r="F39" i="104"/>
  <c r="E39" i="104"/>
  <c r="M38" i="104"/>
  <c r="P38" i="104" s="1"/>
  <c r="Q38" i="104" s="1"/>
  <c r="F38" i="104"/>
  <c r="E38" i="104"/>
  <c r="M37" i="104"/>
  <c r="P37" i="104" s="1"/>
  <c r="Q37" i="104" s="1"/>
  <c r="F37" i="104"/>
  <c r="E37" i="104"/>
  <c r="G37" i="104" s="1"/>
  <c r="M36" i="104"/>
  <c r="P36" i="104" s="1"/>
  <c r="Q36" i="104" s="1"/>
  <c r="F36" i="104"/>
  <c r="E36" i="104"/>
  <c r="F35" i="104"/>
  <c r="E35" i="104"/>
  <c r="G35" i="104" s="1"/>
  <c r="M34" i="104"/>
  <c r="P34" i="104" s="1"/>
  <c r="Q34" i="104" s="1"/>
  <c r="F34" i="104"/>
  <c r="E34" i="104"/>
  <c r="G34" i="104" s="1"/>
  <c r="M33" i="104"/>
  <c r="P33" i="104" s="1"/>
  <c r="Q33" i="104" s="1"/>
  <c r="F33" i="104"/>
  <c r="E33" i="104"/>
  <c r="M32" i="104"/>
  <c r="F32" i="104"/>
  <c r="E32" i="104"/>
  <c r="M31" i="104"/>
  <c r="P31" i="104" s="1"/>
  <c r="Q31" i="104" s="1"/>
  <c r="F31" i="104"/>
  <c r="E31" i="104"/>
  <c r="G31" i="104" s="1"/>
  <c r="M30" i="104"/>
  <c r="N30" i="104" s="1"/>
  <c r="F30" i="104"/>
  <c r="E30" i="104"/>
  <c r="M29" i="104"/>
  <c r="N29" i="104" s="1"/>
  <c r="F29" i="104"/>
  <c r="E29" i="104"/>
  <c r="M28" i="104"/>
  <c r="P28" i="104" s="1"/>
  <c r="Q28" i="104" s="1"/>
  <c r="F28" i="104"/>
  <c r="E28" i="104"/>
  <c r="M27" i="104"/>
  <c r="P27" i="104" s="1"/>
  <c r="Q27" i="104" s="1"/>
  <c r="F27" i="104"/>
  <c r="E27" i="104"/>
  <c r="M26" i="104"/>
  <c r="P26" i="104" s="1"/>
  <c r="Q26" i="104" s="1"/>
  <c r="F26" i="104"/>
  <c r="E26" i="104"/>
  <c r="K25" i="104"/>
  <c r="M25" i="104" s="1"/>
  <c r="F25" i="104"/>
  <c r="E25" i="104"/>
  <c r="M24" i="104"/>
  <c r="P24" i="104" s="1"/>
  <c r="Q24" i="104" s="1"/>
  <c r="F24" i="104"/>
  <c r="E24" i="104"/>
  <c r="F23" i="104"/>
  <c r="E23" i="104"/>
  <c r="M22" i="104"/>
  <c r="P22" i="104" s="1"/>
  <c r="Q22" i="104" s="1"/>
  <c r="F22" i="104"/>
  <c r="E22" i="104"/>
  <c r="M21" i="104"/>
  <c r="N21" i="104" s="1"/>
  <c r="F21" i="104"/>
  <c r="E21" i="104"/>
  <c r="M20" i="104"/>
  <c r="P20" i="104" s="1"/>
  <c r="Q20" i="104" s="1"/>
  <c r="F20" i="104"/>
  <c r="E20" i="104"/>
  <c r="M19" i="104"/>
  <c r="P19" i="104" s="1"/>
  <c r="Q19" i="104" s="1"/>
  <c r="F19" i="104"/>
  <c r="E19" i="104"/>
  <c r="M18" i="104"/>
  <c r="P18" i="104" s="1"/>
  <c r="Q18" i="104" s="1"/>
  <c r="F18" i="104"/>
  <c r="E18" i="104"/>
  <c r="M17" i="104"/>
  <c r="P17" i="104" s="1"/>
  <c r="Q17" i="104" s="1"/>
  <c r="F17" i="104"/>
  <c r="E17" i="104"/>
  <c r="M16" i="104"/>
  <c r="N16" i="104" s="1"/>
  <c r="F16" i="104"/>
  <c r="E16" i="104"/>
  <c r="M15" i="104"/>
  <c r="P15" i="104" s="1"/>
  <c r="Q15" i="104" s="1"/>
  <c r="F15" i="104"/>
  <c r="E15" i="104"/>
  <c r="M14" i="104"/>
  <c r="P14" i="104" s="1"/>
  <c r="Q14" i="104" s="1"/>
  <c r="F14" i="104"/>
  <c r="E14" i="104"/>
  <c r="M13" i="104"/>
  <c r="P13" i="104" s="1"/>
  <c r="Q13" i="104" s="1"/>
  <c r="F13" i="104"/>
  <c r="G13" i="104" s="1"/>
  <c r="E13" i="104"/>
  <c r="M12" i="104"/>
  <c r="P12" i="104" s="1"/>
  <c r="Q12" i="104" s="1"/>
  <c r="F12" i="104"/>
  <c r="E12" i="104"/>
  <c r="M11" i="104"/>
  <c r="P11" i="104" s="1"/>
  <c r="Q11" i="104" s="1"/>
  <c r="F11" i="104"/>
  <c r="E11" i="104"/>
  <c r="M10" i="104"/>
  <c r="P10" i="104" s="1"/>
  <c r="Q10" i="104" s="1"/>
  <c r="F10" i="104"/>
  <c r="E10" i="104"/>
  <c r="M9" i="104"/>
  <c r="P9" i="104" s="1"/>
  <c r="Q9" i="104" s="1"/>
  <c r="F9" i="104"/>
  <c r="E9" i="104"/>
  <c r="M8" i="104"/>
  <c r="N8" i="104" s="1"/>
  <c r="F8" i="104"/>
  <c r="E8" i="104"/>
  <c r="M7" i="104"/>
  <c r="N7" i="104" s="1"/>
  <c r="F7" i="104"/>
  <c r="E7" i="104"/>
  <c r="G7" i="104" s="1"/>
  <c r="M6" i="104"/>
  <c r="N6" i="104" s="1"/>
  <c r="F6" i="104"/>
  <c r="E6" i="104"/>
  <c r="M5" i="104"/>
  <c r="N5" i="104" s="1"/>
  <c r="F5" i="104"/>
  <c r="E5" i="104"/>
  <c r="M4" i="104"/>
  <c r="N4" i="104" s="1"/>
  <c r="F4" i="104"/>
  <c r="E4" i="104"/>
  <c r="F57" i="103"/>
  <c r="M36" i="103"/>
  <c r="K8" i="103"/>
  <c r="K23" i="103"/>
  <c r="K33" i="103"/>
  <c r="N67" i="105" l="1"/>
  <c r="P67" i="105"/>
  <c r="Q4" i="105"/>
  <c r="Q67" i="105" s="1"/>
  <c r="G6" i="104"/>
  <c r="G12" i="104"/>
  <c r="G21" i="104"/>
  <c r="G28" i="104"/>
  <c r="G57" i="104"/>
  <c r="G65" i="104"/>
  <c r="G20" i="104"/>
  <c r="G15" i="104"/>
  <c r="G54" i="104"/>
  <c r="G4" i="104"/>
  <c r="G32" i="104"/>
  <c r="G39" i="104"/>
  <c r="G43" i="104"/>
  <c r="G44" i="104"/>
  <c r="G48" i="104"/>
  <c r="G23" i="104"/>
  <c r="G26" i="104"/>
  <c r="G27" i="104"/>
  <c r="G53" i="104"/>
  <c r="G61" i="104"/>
  <c r="G11" i="104"/>
  <c r="G16" i="104"/>
  <c r="G24" i="104"/>
  <c r="G29" i="104"/>
  <c r="G40" i="104"/>
  <c r="G55" i="104"/>
  <c r="N65" i="104"/>
  <c r="N64" i="104"/>
  <c r="N22" i="104"/>
  <c r="N17" i="104"/>
  <c r="N10" i="104"/>
  <c r="P16" i="104"/>
  <c r="Q16" i="104" s="1"/>
  <c r="N56" i="104"/>
  <c r="P57" i="104"/>
  <c r="Q57" i="104" s="1"/>
  <c r="P60" i="104"/>
  <c r="Q60" i="104" s="1"/>
  <c r="N59" i="104"/>
  <c r="P52" i="104"/>
  <c r="Q52" i="104" s="1"/>
  <c r="N51" i="104"/>
  <c r="N48" i="104"/>
  <c r="P47" i="104"/>
  <c r="Q47" i="104" s="1"/>
  <c r="N43" i="104"/>
  <c r="P35" i="104"/>
  <c r="Q35" i="104" s="1"/>
  <c r="N31" i="104"/>
  <c r="P30" i="104"/>
  <c r="Q30" i="104" s="1"/>
  <c r="N18" i="104"/>
  <c r="N15" i="104"/>
  <c r="N14" i="104"/>
  <c r="N9" i="104"/>
  <c r="P7" i="104"/>
  <c r="Q7" i="104" s="1"/>
  <c r="P6" i="104"/>
  <c r="Q6" i="104" s="1"/>
  <c r="N23" i="104"/>
  <c r="P23" i="104"/>
  <c r="Q23" i="104" s="1"/>
  <c r="G8" i="104"/>
  <c r="G10" i="104"/>
  <c r="G14" i="104"/>
  <c r="G17" i="104"/>
  <c r="G36" i="104"/>
  <c r="G50" i="104"/>
  <c r="G52" i="104"/>
  <c r="G60" i="104"/>
  <c r="G5" i="104"/>
  <c r="K67" i="104"/>
  <c r="G19" i="104"/>
  <c r="N24" i="104"/>
  <c r="N26" i="104"/>
  <c r="N34" i="104"/>
  <c r="N40" i="104"/>
  <c r="N42" i="104"/>
  <c r="G47" i="104"/>
  <c r="G9" i="104"/>
  <c r="G18" i="104"/>
  <c r="G22" i="104"/>
  <c r="G25" i="104"/>
  <c r="G33" i="104"/>
  <c r="N39" i="104"/>
  <c r="G41" i="104"/>
  <c r="G51" i="104"/>
  <c r="G59" i="104"/>
  <c r="G49" i="104"/>
  <c r="E67" i="104"/>
  <c r="G30" i="104"/>
  <c r="G38" i="104"/>
  <c r="G56" i="104"/>
  <c r="G64" i="104"/>
  <c r="F67" i="104"/>
  <c r="P8" i="104"/>
  <c r="Q8" i="104" s="1"/>
  <c r="P5" i="104"/>
  <c r="Q5" i="104" s="1"/>
  <c r="N25" i="104"/>
  <c r="P25" i="104"/>
  <c r="Q25" i="104" s="1"/>
  <c r="N32" i="104"/>
  <c r="P32" i="104"/>
  <c r="Q32" i="104" s="1"/>
  <c r="N13" i="104"/>
  <c r="N38" i="104"/>
  <c r="P4" i="104"/>
  <c r="N12" i="104"/>
  <c r="N20" i="104"/>
  <c r="P21" i="104"/>
  <c r="Q21" i="104" s="1"/>
  <c r="N28" i="104"/>
  <c r="P29" i="104"/>
  <c r="Q29" i="104" s="1"/>
  <c r="N37" i="104"/>
  <c r="N45" i="104"/>
  <c r="P46" i="104"/>
  <c r="Q46" i="104" s="1"/>
  <c r="N54" i="104"/>
  <c r="P55" i="104"/>
  <c r="Q55" i="104" s="1"/>
  <c r="N62" i="104"/>
  <c r="P63" i="104"/>
  <c r="Q63" i="104" s="1"/>
  <c r="N11" i="104"/>
  <c r="N19" i="104"/>
  <c r="N27" i="104"/>
  <c r="N36" i="104"/>
  <c r="N44" i="104"/>
  <c r="N53" i="104"/>
  <c r="N61" i="104"/>
  <c r="M67" i="104"/>
  <c r="N33" i="104"/>
  <c r="N41" i="104"/>
  <c r="N49" i="104"/>
  <c r="N50" i="104"/>
  <c r="N58" i="104"/>
  <c r="E65" i="103"/>
  <c r="F65" i="103"/>
  <c r="G65" i="103" s="1"/>
  <c r="M65" i="103"/>
  <c r="N65" i="103" s="1"/>
  <c r="M64" i="103"/>
  <c r="P64" i="103" s="1"/>
  <c r="Q64" i="103" s="1"/>
  <c r="F64" i="103"/>
  <c r="E64" i="103"/>
  <c r="G64" i="103" s="1"/>
  <c r="K51" i="103"/>
  <c r="M51" i="103" s="1"/>
  <c r="P51" i="103" s="1"/>
  <c r="Q51" i="103" s="1"/>
  <c r="L68" i="103"/>
  <c r="J68" i="103"/>
  <c r="J69" i="103" s="1"/>
  <c r="I68" i="103"/>
  <c r="I69" i="103" s="1"/>
  <c r="H68" i="103"/>
  <c r="D68" i="103"/>
  <c r="C68" i="103"/>
  <c r="M66" i="103"/>
  <c r="P66" i="103" s="1"/>
  <c r="Q66" i="103" s="1"/>
  <c r="F66" i="103"/>
  <c r="E66" i="103"/>
  <c r="G66" i="103" s="1"/>
  <c r="M63" i="103"/>
  <c r="P63" i="103" s="1"/>
  <c r="Q63" i="103" s="1"/>
  <c r="F63" i="103"/>
  <c r="E63" i="103"/>
  <c r="M62" i="103"/>
  <c r="N62" i="103" s="1"/>
  <c r="F62" i="103"/>
  <c r="E62" i="103"/>
  <c r="M61" i="103"/>
  <c r="N61" i="103" s="1"/>
  <c r="F61" i="103"/>
  <c r="E61" i="103"/>
  <c r="M60" i="103"/>
  <c r="P60" i="103" s="1"/>
  <c r="Q60" i="103" s="1"/>
  <c r="F60" i="103"/>
  <c r="E60" i="103"/>
  <c r="M59" i="103"/>
  <c r="P59" i="103" s="1"/>
  <c r="Q59" i="103" s="1"/>
  <c r="F59" i="103"/>
  <c r="E59" i="103"/>
  <c r="M58" i="103"/>
  <c r="N58" i="103" s="1"/>
  <c r="F58" i="103"/>
  <c r="E58" i="103"/>
  <c r="M57" i="103"/>
  <c r="N57" i="103" s="1"/>
  <c r="E57" i="103"/>
  <c r="M56" i="103"/>
  <c r="P56" i="103" s="1"/>
  <c r="Q56" i="103" s="1"/>
  <c r="F56" i="103"/>
  <c r="E56" i="103"/>
  <c r="M55" i="103"/>
  <c r="P55" i="103" s="1"/>
  <c r="Q55" i="103" s="1"/>
  <c r="F55" i="103"/>
  <c r="E55" i="103"/>
  <c r="M54" i="103"/>
  <c r="N54" i="103" s="1"/>
  <c r="F54" i="103"/>
  <c r="E54" i="103"/>
  <c r="M53" i="103"/>
  <c r="N53" i="103" s="1"/>
  <c r="F53" i="103"/>
  <c r="E53" i="103"/>
  <c r="M52" i="103"/>
  <c r="P52" i="103" s="1"/>
  <c r="Q52" i="103" s="1"/>
  <c r="F52" i="103"/>
  <c r="E52" i="103"/>
  <c r="F51" i="103"/>
  <c r="E51" i="103"/>
  <c r="M50" i="103"/>
  <c r="P50" i="103" s="1"/>
  <c r="Q50" i="103" s="1"/>
  <c r="F50" i="103"/>
  <c r="E50" i="103"/>
  <c r="M49" i="103"/>
  <c r="P49" i="103" s="1"/>
  <c r="Q49" i="103" s="1"/>
  <c r="F49" i="103"/>
  <c r="E49" i="103"/>
  <c r="M48" i="103"/>
  <c r="P48" i="103" s="1"/>
  <c r="Q48" i="103" s="1"/>
  <c r="F48" i="103"/>
  <c r="E48" i="103"/>
  <c r="M47" i="103"/>
  <c r="N47" i="103" s="1"/>
  <c r="F47" i="103"/>
  <c r="E47" i="103"/>
  <c r="M46" i="103"/>
  <c r="N46" i="103" s="1"/>
  <c r="F46" i="103"/>
  <c r="E46" i="103"/>
  <c r="M45" i="103"/>
  <c r="P45" i="103" s="1"/>
  <c r="Q45" i="103" s="1"/>
  <c r="F45" i="103"/>
  <c r="E45" i="103"/>
  <c r="M44" i="103"/>
  <c r="P44" i="103" s="1"/>
  <c r="Q44" i="103" s="1"/>
  <c r="F44" i="103"/>
  <c r="E44" i="103"/>
  <c r="G44" i="103" s="1"/>
  <c r="M43" i="103"/>
  <c r="N43" i="103" s="1"/>
  <c r="F43" i="103"/>
  <c r="E43" i="103"/>
  <c r="M42" i="103"/>
  <c r="P42" i="103" s="1"/>
  <c r="Q42" i="103" s="1"/>
  <c r="F42" i="103"/>
  <c r="E42" i="103"/>
  <c r="M41" i="103"/>
  <c r="P41" i="103" s="1"/>
  <c r="Q41" i="103" s="1"/>
  <c r="F41" i="103"/>
  <c r="E41" i="103"/>
  <c r="M40" i="103"/>
  <c r="P40" i="103" s="1"/>
  <c r="Q40" i="103" s="1"/>
  <c r="F40" i="103"/>
  <c r="E40" i="103"/>
  <c r="M39" i="103"/>
  <c r="N39" i="103" s="1"/>
  <c r="F39" i="103"/>
  <c r="E39" i="103"/>
  <c r="M38" i="103"/>
  <c r="N38" i="103" s="1"/>
  <c r="F38" i="103"/>
  <c r="E38" i="103"/>
  <c r="M37" i="103"/>
  <c r="P37" i="103" s="1"/>
  <c r="Q37" i="103" s="1"/>
  <c r="F37" i="103"/>
  <c r="E37" i="103"/>
  <c r="P36" i="103"/>
  <c r="Q36" i="103" s="1"/>
  <c r="F36" i="103"/>
  <c r="E36" i="103"/>
  <c r="M35" i="103"/>
  <c r="N35" i="103" s="1"/>
  <c r="F35" i="103"/>
  <c r="E35" i="103"/>
  <c r="M34" i="103"/>
  <c r="P34" i="103" s="1"/>
  <c r="Q34" i="103" s="1"/>
  <c r="F34" i="103"/>
  <c r="E34" i="103"/>
  <c r="M33" i="103"/>
  <c r="P33" i="103" s="1"/>
  <c r="Q33" i="103" s="1"/>
  <c r="F33" i="103"/>
  <c r="E33" i="103"/>
  <c r="G33" i="103" s="1"/>
  <c r="M32" i="103"/>
  <c r="P32" i="103" s="1"/>
  <c r="Q32" i="103" s="1"/>
  <c r="F32" i="103"/>
  <c r="E32" i="103"/>
  <c r="M31" i="103"/>
  <c r="P31" i="103" s="1"/>
  <c r="Q31" i="103" s="1"/>
  <c r="F31" i="103"/>
  <c r="E31" i="103"/>
  <c r="M30" i="103"/>
  <c r="N30" i="103" s="1"/>
  <c r="F30" i="103"/>
  <c r="E30" i="103"/>
  <c r="M29" i="103"/>
  <c r="N29" i="103" s="1"/>
  <c r="F29" i="103"/>
  <c r="E29" i="103"/>
  <c r="M28" i="103"/>
  <c r="P28" i="103" s="1"/>
  <c r="Q28" i="103" s="1"/>
  <c r="F28" i="103"/>
  <c r="E28" i="103"/>
  <c r="G28" i="103" s="1"/>
  <c r="M27" i="103"/>
  <c r="P27" i="103" s="1"/>
  <c r="Q27" i="103" s="1"/>
  <c r="F27" i="103"/>
  <c r="E27" i="103"/>
  <c r="N26" i="103"/>
  <c r="F26" i="103"/>
  <c r="E26" i="103"/>
  <c r="K25" i="103"/>
  <c r="M25" i="103" s="1"/>
  <c r="F25" i="103"/>
  <c r="E25" i="103"/>
  <c r="G25" i="103" s="1"/>
  <c r="M24" i="103"/>
  <c r="P24" i="103" s="1"/>
  <c r="Q24" i="103" s="1"/>
  <c r="F24" i="103"/>
  <c r="E24" i="103"/>
  <c r="M23" i="103"/>
  <c r="P23" i="103" s="1"/>
  <c r="Q23" i="103" s="1"/>
  <c r="F23" i="103"/>
  <c r="E23" i="103"/>
  <c r="M22" i="103"/>
  <c r="P22" i="103" s="1"/>
  <c r="Q22" i="103" s="1"/>
  <c r="F22" i="103"/>
  <c r="E22" i="103"/>
  <c r="M21" i="103"/>
  <c r="N21" i="103" s="1"/>
  <c r="F21" i="103"/>
  <c r="E21" i="103"/>
  <c r="M20" i="103"/>
  <c r="N20" i="103" s="1"/>
  <c r="F20" i="103"/>
  <c r="E20" i="103"/>
  <c r="M19" i="103"/>
  <c r="P19" i="103" s="1"/>
  <c r="Q19" i="103" s="1"/>
  <c r="F19" i="103"/>
  <c r="E19" i="103"/>
  <c r="M18" i="103"/>
  <c r="P18" i="103" s="1"/>
  <c r="Q18" i="103" s="1"/>
  <c r="F18" i="103"/>
  <c r="E18" i="103"/>
  <c r="M17" i="103"/>
  <c r="N17" i="103" s="1"/>
  <c r="F17" i="103"/>
  <c r="E17" i="103"/>
  <c r="M16" i="103"/>
  <c r="P16" i="103" s="1"/>
  <c r="Q16" i="103" s="1"/>
  <c r="F16" i="103"/>
  <c r="E16" i="103"/>
  <c r="M15" i="103"/>
  <c r="P15" i="103" s="1"/>
  <c r="Q15" i="103" s="1"/>
  <c r="F15" i="103"/>
  <c r="E15" i="103"/>
  <c r="M14" i="103"/>
  <c r="P14" i="103" s="1"/>
  <c r="Q14" i="103" s="1"/>
  <c r="F14" i="103"/>
  <c r="E14" i="103"/>
  <c r="G14" i="103" s="1"/>
  <c r="M13" i="103"/>
  <c r="N13" i="103" s="1"/>
  <c r="F13" i="103"/>
  <c r="E13" i="103"/>
  <c r="M12" i="103"/>
  <c r="N12" i="103" s="1"/>
  <c r="F12" i="103"/>
  <c r="E12" i="103"/>
  <c r="M11" i="103"/>
  <c r="P11" i="103" s="1"/>
  <c r="Q11" i="103" s="1"/>
  <c r="F11" i="103"/>
  <c r="E11" i="103"/>
  <c r="M10" i="103"/>
  <c r="P10" i="103" s="1"/>
  <c r="Q10" i="103" s="1"/>
  <c r="F10" i="103"/>
  <c r="E10" i="103"/>
  <c r="M9" i="103"/>
  <c r="N9" i="103" s="1"/>
  <c r="F9" i="103"/>
  <c r="E9" i="103"/>
  <c r="M8" i="103"/>
  <c r="N8" i="103" s="1"/>
  <c r="F8" i="103"/>
  <c r="E8" i="103"/>
  <c r="M7" i="103"/>
  <c r="P7" i="103" s="1"/>
  <c r="Q7" i="103" s="1"/>
  <c r="F7" i="103"/>
  <c r="E7" i="103"/>
  <c r="M6" i="103"/>
  <c r="P6" i="103" s="1"/>
  <c r="Q6" i="103" s="1"/>
  <c r="F6" i="103"/>
  <c r="E6" i="103"/>
  <c r="G6" i="103" s="1"/>
  <c r="M5" i="103"/>
  <c r="N5" i="103" s="1"/>
  <c r="F5" i="103"/>
  <c r="E5" i="103"/>
  <c r="M4" i="103"/>
  <c r="P4" i="103" s="1"/>
  <c r="F4" i="103"/>
  <c r="E4" i="103"/>
  <c r="M64" i="102"/>
  <c r="N64" i="102" s="1"/>
  <c r="F64" i="102"/>
  <c r="E64" i="102"/>
  <c r="G64" i="102" s="1"/>
  <c r="K52" i="102"/>
  <c r="M52" i="102" s="1"/>
  <c r="N52" i="102" s="1"/>
  <c r="M62" i="102"/>
  <c r="N62" i="102" s="1"/>
  <c r="F62" i="102"/>
  <c r="E62" i="102"/>
  <c r="M36" i="102"/>
  <c r="P36" i="102" s="1"/>
  <c r="Q36" i="102" s="1"/>
  <c r="K33" i="102"/>
  <c r="K25" i="102"/>
  <c r="M25" i="102" s="1"/>
  <c r="M23" i="102"/>
  <c r="M65" i="102"/>
  <c r="P65" i="102" s="1"/>
  <c r="Q65" i="102" s="1"/>
  <c r="E65" i="102"/>
  <c r="F65" i="102"/>
  <c r="M63" i="102"/>
  <c r="N63" i="102" s="1"/>
  <c r="F63" i="102"/>
  <c r="E63" i="102"/>
  <c r="J67" i="102"/>
  <c r="J68" i="102" s="1"/>
  <c r="I67" i="102"/>
  <c r="I68" i="102" s="1"/>
  <c r="H67" i="102"/>
  <c r="D67" i="102"/>
  <c r="C67" i="102"/>
  <c r="M61" i="102"/>
  <c r="P61" i="102" s="1"/>
  <c r="Q61" i="102" s="1"/>
  <c r="F61" i="102"/>
  <c r="E61" i="102"/>
  <c r="M60" i="102"/>
  <c r="N60" i="102" s="1"/>
  <c r="F60" i="102"/>
  <c r="E60" i="102"/>
  <c r="M59" i="102"/>
  <c r="N59" i="102" s="1"/>
  <c r="F59" i="102"/>
  <c r="E59" i="102"/>
  <c r="M58" i="102"/>
  <c r="N58" i="102" s="1"/>
  <c r="F58" i="102"/>
  <c r="E58" i="102"/>
  <c r="M57" i="102"/>
  <c r="P57" i="102" s="1"/>
  <c r="Q57" i="102" s="1"/>
  <c r="F57" i="102"/>
  <c r="E57" i="102"/>
  <c r="M56" i="102"/>
  <c r="N56" i="102" s="1"/>
  <c r="F56" i="102"/>
  <c r="E56" i="102"/>
  <c r="M55" i="102"/>
  <c r="N55" i="102" s="1"/>
  <c r="F55" i="102"/>
  <c r="E55" i="102"/>
  <c r="M54" i="102"/>
  <c r="P54" i="102" s="1"/>
  <c r="Q54" i="102" s="1"/>
  <c r="F54" i="102"/>
  <c r="E54" i="102"/>
  <c r="M53" i="102"/>
  <c r="P53" i="102" s="1"/>
  <c r="Q53" i="102" s="1"/>
  <c r="F53" i="102"/>
  <c r="E53" i="102"/>
  <c r="F52" i="102"/>
  <c r="E52" i="102"/>
  <c r="N51" i="102"/>
  <c r="F51" i="102"/>
  <c r="E51" i="102"/>
  <c r="M50" i="102"/>
  <c r="N50" i="102" s="1"/>
  <c r="F50" i="102"/>
  <c r="E50" i="102"/>
  <c r="G50" i="102" s="1"/>
  <c r="M49" i="102"/>
  <c r="P49" i="102" s="1"/>
  <c r="Q49" i="102" s="1"/>
  <c r="F49" i="102"/>
  <c r="E49" i="102"/>
  <c r="M48" i="102"/>
  <c r="N48" i="102" s="1"/>
  <c r="F48" i="102"/>
  <c r="E48" i="102"/>
  <c r="M47" i="102"/>
  <c r="F47" i="102"/>
  <c r="E47" i="102"/>
  <c r="M46" i="102"/>
  <c r="P46" i="102" s="1"/>
  <c r="Q46" i="102" s="1"/>
  <c r="F46" i="102"/>
  <c r="E46" i="102"/>
  <c r="M45" i="102"/>
  <c r="P45" i="102" s="1"/>
  <c r="Q45" i="102" s="1"/>
  <c r="F45" i="102"/>
  <c r="E45" i="102"/>
  <c r="M44" i="102"/>
  <c r="P44" i="102" s="1"/>
  <c r="Q44" i="102" s="1"/>
  <c r="F44" i="102"/>
  <c r="E44" i="102"/>
  <c r="M43" i="102"/>
  <c r="N43" i="102" s="1"/>
  <c r="F43" i="102"/>
  <c r="E43" i="102"/>
  <c r="M42" i="102"/>
  <c r="N42" i="102" s="1"/>
  <c r="F42" i="102"/>
  <c r="E42" i="102"/>
  <c r="M41" i="102"/>
  <c r="P41" i="102" s="1"/>
  <c r="Q41" i="102" s="1"/>
  <c r="F41" i="102"/>
  <c r="E41" i="102"/>
  <c r="M40" i="102"/>
  <c r="P40" i="102" s="1"/>
  <c r="Q40" i="102" s="1"/>
  <c r="F40" i="102"/>
  <c r="E40" i="102"/>
  <c r="M39" i="102"/>
  <c r="N39" i="102" s="1"/>
  <c r="F39" i="102"/>
  <c r="E39" i="102"/>
  <c r="M38" i="102"/>
  <c r="P38" i="102" s="1"/>
  <c r="Q38" i="102" s="1"/>
  <c r="F38" i="102"/>
  <c r="E38" i="102"/>
  <c r="M37" i="102"/>
  <c r="N37" i="102" s="1"/>
  <c r="F37" i="102"/>
  <c r="E37" i="102"/>
  <c r="F36" i="102"/>
  <c r="E36" i="102"/>
  <c r="M35" i="102"/>
  <c r="N35" i="102" s="1"/>
  <c r="F35" i="102"/>
  <c r="E35" i="102"/>
  <c r="M34" i="102"/>
  <c r="N34" i="102" s="1"/>
  <c r="F34" i="102"/>
  <c r="E34" i="102"/>
  <c r="M33" i="102"/>
  <c r="F33" i="102"/>
  <c r="E33" i="102"/>
  <c r="M32" i="102"/>
  <c r="N32" i="102" s="1"/>
  <c r="F32" i="102"/>
  <c r="E32" i="102"/>
  <c r="M31" i="102"/>
  <c r="P31" i="102" s="1"/>
  <c r="Q31" i="102" s="1"/>
  <c r="F31" i="102"/>
  <c r="E31" i="102"/>
  <c r="M30" i="102"/>
  <c r="N30" i="102" s="1"/>
  <c r="F30" i="102"/>
  <c r="E30" i="102"/>
  <c r="M29" i="102"/>
  <c r="N29" i="102" s="1"/>
  <c r="F29" i="102"/>
  <c r="E29" i="102"/>
  <c r="M28" i="102"/>
  <c r="P28" i="102" s="1"/>
  <c r="Q28" i="102" s="1"/>
  <c r="F28" i="102"/>
  <c r="E28" i="102"/>
  <c r="M27" i="102"/>
  <c r="P27" i="102" s="1"/>
  <c r="Q27" i="102" s="1"/>
  <c r="F27" i="102"/>
  <c r="E27" i="102"/>
  <c r="M26" i="102"/>
  <c r="N26" i="102" s="1"/>
  <c r="F26" i="102"/>
  <c r="E26" i="102"/>
  <c r="F25" i="102"/>
  <c r="E25" i="102"/>
  <c r="M24" i="102"/>
  <c r="N24" i="102" s="1"/>
  <c r="F24" i="102"/>
  <c r="E24" i="102"/>
  <c r="F23" i="102"/>
  <c r="E23" i="102"/>
  <c r="M22" i="102"/>
  <c r="N22" i="102" s="1"/>
  <c r="F22" i="102"/>
  <c r="E22" i="102"/>
  <c r="M21" i="102"/>
  <c r="P21" i="102" s="1"/>
  <c r="Q21" i="102" s="1"/>
  <c r="F21" i="102"/>
  <c r="E21" i="102"/>
  <c r="M20" i="102"/>
  <c r="N20" i="102" s="1"/>
  <c r="F20" i="102"/>
  <c r="E20" i="102"/>
  <c r="M19" i="102"/>
  <c r="P19" i="102" s="1"/>
  <c r="Q19" i="102" s="1"/>
  <c r="F19" i="102"/>
  <c r="E19" i="102"/>
  <c r="M18" i="102"/>
  <c r="P18" i="102" s="1"/>
  <c r="Q18" i="102" s="1"/>
  <c r="F18" i="102"/>
  <c r="E18" i="102"/>
  <c r="M17" i="102"/>
  <c r="P17" i="102" s="1"/>
  <c r="Q17" i="102" s="1"/>
  <c r="F17" i="102"/>
  <c r="E17" i="102"/>
  <c r="F16" i="102"/>
  <c r="E16" i="102"/>
  <c r="M15" i="102"/>
  <c r="N15" i="102" s="1"/>
  <c r="F15" i="102"/>
  <c r="E15" i="102"/>
  <c r="M14" i="102"/>
  <c r="N14" i="102" s="1"/>
  <c r="F14" i="102"/>
  <c r="E14" i="102"/>
  <c r="M13" i="102"/>
  <c r="N13" i="102" s="1"/>
  <c r="F13" i="102"/>
  <c r="E13" i="102"/>
  <c r="M12" i="102"/>
  <c r="P12" i="102" s="1"/>
  <c r="Q12" i="102" s="1"/>
  <c r="F12" i="102"/>
  <c r="E12" i="102"/>
  <c r="M11" i="102"/>
  <c r="N11" i="102" s="1"/>
  <c r="F11" i="102"/>
  <c r="G11" i="102" s="1"/>
  <c r="E11" i="102"/>
  <c r="M10" i="102"/>
  <c r="P10" i="102" s="1"/>
  <c r="Q10" i="102" s="1"/>
  <c r="F10" i="102"/>
  <c r="E10" i="102"/>
  <c r="M9" i="102"/>
  <c r="P9" i="102" s="1"/>
  <c r="Q9" i="102" s="1"/>
  <c r="F9" i="102"/>
  <c r="E9" i="102"/>
  <c r="M8" i="102"/>
  <c r="P8" i="102" s="1"/>
  <c r="Q8" i="102" s="1"/>
  <c r="F8" i="102"/>
  <c r="E8" i="102"/>
  <c r="M7" i="102"/>
  <c r="N7" i="102" s="1"/>
  <c r="F7" i="102"/>
  <c r="E7" i="102"/>
  <c r="M6" i="102"/>
  <c r="N6" i="102" s="1"/>
  <c r="F6" i="102"/>
  <c r="E6" i="102"/>
  <c r="M5" i="102"/>
  <c r="P5" i="102" s="1"/>
  <c r="Q5" i="102" s="1"/>
  <c r="F5" i="102"/>
  <c r="E5" i="102"/>
  <c r="M4" i="102"/>
  <c r="P4" i="102" s="1"/>
  <c r="F4" i="102"/>
  <c r="E4" i="102"/>
  <c r="M23" i="101"/>
  <c r="K23" i="101"/>
  <c r="G67" i="104" l="1"/>
  <c r="N67" i="104"/>
  <c r="P67" i="104"/>
  <c r="Q4" i="104"/>
  <c r="Q67" i="104" s="1"/>
  <c r="P65" i="103"/>
  <c r="Q65" i="103" s="1"/>
  <c r="N24" i="103"/>
  <c r="G13" i="103"/>
  <c r="G26" i="103"/>
  <c r="G47" i="103"/>
  <c r="G19" i="103"/>
  <c r="N64" i="103"/>
  <c r="G35" i="103"/>
  <c r="G40" i="103"/>
  <c r="G43" i="103"/>
  <c r="G54" i="103"/>
  <c r="G62" i="103"/>
  <c r="G52" i="103"/>
  <c r="G60" i="103"/>
  <c r="P17" i="103"/>
  <c r="Q17" i="103" s="1"/>
  <c r="G23" i="103"/>
  <c r="G36" i="103"/>
  <c r="G63" i="103"/>
  <c r="G18" i="103"/>
  <c r="G39" i="103"/>
  <c r="G31" i="103"/>
  <c r="G21" i="103"/>
  <c r="G48" i="103"/>
  <c r="G16" i="103"/>
  <c r="G41" i="103"/>
  <c r="G9" i="103"/>
  <c r="G12" i="103"/>
  <c r="G17" i="103"/>
  <c r="G34" i="103"/>
  <c r="G55" i="103"/>
  <c r="G58" i="103"/>
  <c r="F68" i="103"/>
  <c r="G22" i="103"/>
  <c r="G27" i="103"/>
  <c r="G37" i="103"/>
  <c r="G61" i="103"/>
  <c r="G10" i="103"/>
  <c r="G15" i="103"/>
  <c r="G30" i="103"/>
  <c r="G45" i="103"/>
  <c r="G56" i="103"/>
  <c r="G5" i="103"/>
  <c r="N45" i="103"/>
  <c r="N50" i="103"/>
  <c r="P58" i="103"/>
  <c r="Q58" i="103" s="1"/>
  <c r="N66" i="103"/>
  <c r="N60" i="103"/>
  <c r="P57" i="103"/>
  <c r="Q57" i="103" s="1"/>
  <c r="G7" i="103"/>
  <c r="G38" i="103"/>
  <c r="G49" i="103"/>
  <c r="G51" i="103"/>
  <c r="G53" i="103"/>
  <c r="G57" i="103"/>
  <c r="P29" i="103"/>
  <c r="Q29" i="103" s="1"/>
  <c r="N7" i="103"/>
  <c r="G32" i="103"/>
  <c r="P38" i="103"/>
  <c r="Q38" i="103" s="1"/>
  <c r="G50" i="103"/>
  <c r="P53" i="103"/>
  <c r="Q53" i="103" s="1"/>
  <c r="G59" i="103"/>
  <c r="G4" i="103"/>
  <c r="G8" i="103"/>
  <c r="P12" i="103"/>
  <c r="Q12" i="103" s="1"/>
  <c r="G24" i="103"/>
  <c r="G46" i="103"/>
  <c r="P61" i="103"/>
  <c r="Q61" i="103" s="1"/>
  <c r="P8" i="103"/>
  <c r="Q8" i="103" s="1"/>
  <c r="G11" i="103"/>
  <c r="G20" i="103"/>
  <c r="G29" i="103"/>
  <c r="N37" i="103"/>
  <c r="G42" i="103"/>
  <c r="N52" i="103"/>
  <c r="N56" i="103"/>
  <c r="N49" i="103"/>
  <c r="P46" i="103"/>
  <c r="Q46" i="103" s="1"/>
  <c r="P43" i="103"/>
  <c r="Q43" i="103" s="1"/>
  <c r="N42" i="103"/>
  <c r="N41" i="103"/>
  <c r="N34" i="103"/>
  <c r="P35" i="103"/>
  <c r="Q35" i="103" s="1"/>
  <c r="N33" i="103"/>
  <c r="N32" i="103"/>
  <c r="N28" i="103"/>
  <c r="P26" i="103"/>
  <c r="Q26" i="103" s="1"/>
  <c r="N23" i="103"/>
  <c r="P20" i="103"/>
  <c r="Q20" i="103" s="1"/>
  <c r="N19" i="103"/>
  <c r="N16" i="103"/>
  <c r="N15" i="103"/>
  <c r="N11" i="103"/>
  <c r="P9" i="103"/>
  <c r="Q9" i="103" s="1"/>
  <c r="M68" i="103"/>
  <c r="N25" i="103"/>
  <c r="P25" i="103"/>
  <c r="Q25" i="103" s="1"/>
  <c r="N4" i="103"/>
  <c r="P5" i="103"/>
  <c r="Q5" i="103" s="1"/>
  <c r="P13" i="103"/>
  <c r="Q13" i="103" s="1"/>
  <c r="P21" i="103"/>
  <c r="Q21" i="103" s="1"/>
  <c r="P30" i="103"/>
  <c r="Q30" i="103" s="1"/>
  <c r="P39" i="103"/>
  <c r="Q39" i="103" s="1"/>
  <c r="P47" i="103"/>
  <c r="Q47" i="103" s="1"/>
  <c r="P54" i="103"/>
  <c r="Q54" i="103" s="1"/>
  <c r="P62" i="103"/>
  <c r="Q62" i="103" s="1"/>
  <c r="K68" i="103"/>
  <c r="Q4" i="103"/>
  <c r="N10" i="103"/>
  <c r="N18" i="103"/>
  <c r="N27" i="103"/>
  <c r="N36" i="103"/>
  <c r="N44" i="103"/>
  <c r="N51" i="103"/>
  <c r="N59" i="103"/>
  <c r="E68" i="103"/>
  <c r="N6" i="103"/>
  <c r="N14" i="103"/>
  <c r="N22" i="103"/>
  <c r="N31" i="103"/>
  <c r="N40" i="103"/>
  <c r="N48" i="103"/>
  <c r="N55" i="103"/>
  <c r="N63" i="103"/>
  <c r="G63" i="102"/>
  <c r="G34" i="102"/>
  <c r="G4" i="102"/>
  <c r="P64" i="102"/>
  <c r="Q64" i="102" s="1"/>
  <c r="G58" i="102"/>
  <c r="G62" i="102"/>
  <c r="P62" i="102"/>
  <c r="Q62" i="102" s="1"/>
  <c r="G44" i="102"/>
  <c r="G5" i="102"/>
  <c r="G8" i="102"/>
  <c r="G13" i="102"/>
  <c r="G51" i="102"/>
  <c r="G7" i="102"/>
  <c r="G9" i="102"/>
  <c r="G14" i="102"/>
  <c r="G17" i="102"/>
  <c r="G28" i="102"/>
  <c r="N41" i="102"/>
  <c r="N65" i="102"/>
  <c r="G55" i="102"/>
  <c r="G65" i="102"/>
  <c r="G27" i="102"/>
  <c r="G61" i="102"/>
  <c r="G22" i="102"/>
  <c r="G30" i="102"/>
  <c r="G48" i="102"/>
  <c r="G56" i="102"/>
  <c r="G15" i="102"/>
  <c r="G54" i="102"/>
  <c r="G57" i="102"/>
  <c r="P14" i="102"/>
  <c r="Q14" i="102" s="1"/>
  <c r="P22" i="102"/>
  <c r="Q22" i="102" s="1"/>
  <c r="P55" i="102"/>
  <c r="Q55" i="102" s="1"/>
  <c r="N46" i="102"/>
  <c r="P29" i="102"/>
  <c r="Q29" i="102" s="1"/>
  <c r="P63" i="102"/>
  <c r="Q63" i="102" s="1"/>
  <c r="G16" i="102"/>
  <c r="G32" i="102"/>
  <c r="G40" i="102"/>
  <c r="P48" i="102"/>
  <c r="Q48" i="102" s="1"/>
  <c r="P6" i="102"/>
  <c r="Q6" i="102" s="1"/>
  <c r="P20" i="102"/>
  <c r="Q20" i="102" s="1"/>
  <c r="G12" i="102"/>
  <c r="G19" i="102"/>
  <c r="G41" i="102"/>
  <c r="P42" i="102"/>
  <c r="Q42" i="102" s="1"/>
  <c r="G45" i="102"/>
  <c r="G47" i="102"/>
  <c r="G49" i="102"/>
  <c r="N19" i="102"/>
  <c r="G24" i="102"/>
  <c r="G36" i="102"/>
  <c r="G39" i="102"/>
  <c r="G52" i="102"/>
  <c r="P56" i="102"/>
  <c r="Q56" i="102" s="1"/>
  <c r="G6" i="102"/>
  <c r="G18" i="102"/>
  <c r="G20" i="102"/>
  <c r="G37" i="102"/>
  <c r="G53" i="102"/>
  <c r="G59" i="102"/>
  <c r="N5" i="102"/>
  <c r="P11" i="102"/>
  <c r="Q11" i="102" s="1"/>
  <c r="P34" i="102"/>
  <c r="Q34" i="102" s="1"/>
  <c r="P50" i="102"/>
  <c r="Q50" i="102" s="1"/>
  <c r="P58" i="102"/>
  <c r="Q58" i="102" s="1"/>
  <c r="N10" i="102"/>
  <c r="G29" i="102"/>
  <c r="P30" i="102"/>
  <c r="Q30" i="102" s="1"/>
  <c r="P32" i="102"/>
  <c r="Q32" i="102" s="1"/>
  <c r="K67" i="102"/>
  <c r="P24" i="102"/>
  <c r="Q24" i="102" s="1"/>
  <c r="G31" i="102"/>
  <c r="G33" i="102"/>
  <c r="G35" i="102"/>
  <c r="G43" i="102"/>
  <c r="N38" i="102"/>
  <c r="G10" i="102"/>
  <c r="P13" i="102"/>
  <c r="Q13" i="102" s="1"/>
  <c r="G26" i="102"/>
  <c r="F67" i="102"/>
  <c r="G21" i="102"/>
  <c r="G23" i="102"/>
  <c r="G25" i="102"/>
  <c r="G38" i="102"/>
  <c r="P39" i="102"/>
  <c r="Q39" i="102" s="1"/>
  <c r="G46" i="102"/>
  <c r="P51" i="102"/>
  <c r="Q51" i="102" s="1"/>
  <c r="P59" i="102"/>
  <c r="Q59" i="102" s="1"/>
  <c r="G42" i="102"/>
  <c r="G60" i="102"/>
  <c r="P25" i="102"/>
  <c r="Q25" i="102" s="1"/>
  <c r="N25" i="102"/>
  <c r="Q4" i="102"/>
  <c r="P23" i="102"/>
  <c r="Q23" i="102" s="1"/>
  <c r="N23" i="102"/>
  <c r="P47" i="102"/>
  <c r="Q47" i="102" s="1"/>
  <c r="N47" i="102"/>
  <c r="P33" i="102"/>
  <c r="Q33" i="102" s="1"/>
  <c r="N33" i="102"/>
  <c r="N8" i="102"/>
  <c r="N17" i="102"/>
  <c r="N27" i="102"/>
  <c r="P37" i="102"/>
  <c r="Q37" i="102" s="1"/>
  <c r="N44" i="102"/>
  <c r="N53" i="102"/>
  <c r="N61" i="102"/>
  <c r="P7" i="102"/>
  <c r="Q7" i="102" s="1"/>
  <c r="P15" i="102"/>
  <c r="Q15" i="102" s="1"/>
  <c r="P26" i="102"/>
  <c r="Q26" i="102" s="1"/>
  <c r="P35" i="102"/>
  <c r="Q35" i="102" s="1"/>
  <c r="P43" i="102"/>
  <c r="Q43" i="102" s="1"/>
  <c r="P52" i="102"/>
  <c r="Q52" i="102" s="1"/>
  <c r="P60" i="102"/>
  <c r="Q60" i="102" s="1"/>
  <c r="L67" i="102"/>
  <c r="E67" i="102"/>
  <c r="N4" i="102"/>
  <c r="N12" i="102"/>
  <c r="N21" i="102"/>
  <c r="N31" i="102"/>
  <c r="N40" i="102"/>
  <c r="N49" i="102"/>
  <c r="N57" i="102"/>
  <c r="N45" i="102"/>
  <c r="N18" i="102"/>
  <c r="N28" i="102"/>
  <c r="N9" i="102"/>
  <c r="N54" i="102"/>
  <c r="M16" i="102"/>
  <c r="N36" i="102"/>
  <c r="J65" i="101"/>
  <c r="I65" i="101"/>
  <c r="G68" i="103" l="1"/>
  <c r="Q68" i="103"/>
  <c r="N68" i="103"/>
  <c r="P68" i="103"/>
  <c r="G67" i="102"/>
  <c r="N16" i="102"/>
  <c r="N67" i="102" s="1"/>
  <c r="P16" i="102"/>
  <c r="Q16" i="102" s="1"/>
  <c r="Q67" i="102" s="1"/>
  <c r="M67" i="102"/>
  <c r="L47" i="101"/>
  <c r="P67" i="102" l="1"/>
  <c r="G18" i="101"/>
  <c r="G19" i="101"/>
  <c r="G22" i="101"/>
  <c r="G23" i="101"/>
  <c r="G24" i="101"/>
  <c r="G25" i="101"/>
  <c r="G26" i="101"/>
  <c r="G27" i="101"/>
  <c r="G28" i="101"/>
  <c r="G29" i="101"/>
  <c r="G30" i="101"/>
  <c r="G31" i="101"/>
  <c r="G32" i="101"/>
  <c r="G33" i="101"/>
  <c r="G34" i="101"/>
  <c r="G35" i="101"/>
  <c r="G36" i="101"/>
  <c r="G37" i="101"/>
  <c r="G38" i="101"/>
  <c r="G39" i="101"/>
  <c r="G40" i="101"/>
  <c r="G41" i="101"/>
  <c r="G42" i="101"/>
  <c r="G43" i="101"/>
  <c r="G44" i="101"/>
  <c r="G45" i="101"/>
  <c r="G46" i="101"/>
  <c r="G47" i="101"/>
  <c r="G48" i="101"/>
  <c r="G49" i="101"/>
  <c r="G50" i="101"/>
  <c r="G51" i="101"/>
  <c r="G52" i="101"/>
  <c r="G53" i="101"/>
  <c r="G54" i="101"/>
  <c r="G55" i="101"/>
  <c r="G56" i="101"/>
  <c r="G57" i="101"/>
  <c r="G58" i="101"/>
  <c r="G59" i="101"/>
  <c r="G60" i="101"/>
  <c r="G61" i="101"/>
  <c r="G62" i="101"/>
  <c r="G63" i="101"/>
  <c r="K33" i="101"/>
  <c r="K16" i="101"/>
  <c r="K25" i="101"/>
  <c r="M62" i="101"/>
  <c r="P62" i="101" s="1"/>
  <c r="Q62" i="101" s="1"/>
  <c r="F62" i="101"/>
  <c r="E62" i="101"/>
  <c r="L65" i="101"/>
  <c r="J66" i="101"/>
  <c r="I66" i="101"/>
  <c r="H65" i="101"/>
  <c r="D65" i="101"/>
  <c r="C65" i="101"/>
  <c r="M63" i="101"/>
  <c r="P63" i="101" s="1"/>
  <c r="Q63" i="101" s="1"/>
  <c r="F63" i="101"/>
  <c r="E63" i="101"/>
  <c r="M61" i="101"/>
  <c r="N61" i="101" s="1"/>
  <c r="F61" i="101"/>
  <c r="E61" i="101"/>
  <c r="M60" i="101"/>
  <c r="N60" i="101" s="1"/>
  <c r="F60" i="101"/>
  <c r="E60" i="101"/>
  <c r="M59" i="101"/>
  <c r="N59" i="101" s="1"/>
  <c r="F59" i="101"/>
  <c r="E59" i="101"/>
  <c r="M58" i="101"/>
  <c r="P58" i="101" s="1"/>
  <c r="Q58" i="101" s="1"/>
  <c r="F58" i="101"/>
  <c r="E58" i="101"/>
  <c r="M57" i="101"/>
  <c r="P57" i="101" s="1"/>
  <c r="Q57" i="101" s="1"/>
  <c r="F57" i="101"/>
  <c r="E57" i="101"/>
  <c r="M56" i="101"/>
  <c r="N56" i="101" s="1"/>
  <c r="F56" i="101"/>
  <c r="E56" i="101"/>
  <c r="M55" i="101"/>
  <c r="P55" i="101" s="1"/>
  <c r="Q55" i="101" s="1"/>
  <c r="F55" i="101"/>
  <c r="E55" i="101"/>
  <c r="M54" i="101"/>
  <c r="P54" i="101" s="1"/>
  <c r="Q54" i="101" s="1"/>
  <c r="F54" i="101"/>
  <c r="E54" i="101"/>
  <c r="M53" i="101"/>
  <c r="N53" i="101" s="1"/>
  <c r="F53" i="101"/>
  <c r="E53" i="101"/>
  <c r="M52" i="101"/>
  <c r="F52" i="101"/>
  <c r="E52" i="101"/>
  <c r="M51" i="101"/>
  <c r="N51" i="101" s="1"/>
  <c r="F51" i="101"/>
  <c r="E51" i="101"/>
  <c r="M50" i="101"/>
  <c r="N50" i="101" s="1"/>
  <c r="F50" i="101"/>
  <c r="E50" i="101"/>
  <c r="M49" i="101"/>
  <c r="P49" i="101" s="1"/>
  <c r="Q49" i="101" s="1"/>
  <c r="F49" i="101"/>
  <c r="E49" i="101"/>
  <c r="M48" i="101"/>
  <c r="P48" i="101" s="1"/>
  <c r="Q48" i="101" s="1"/>
  <c r="F48" i="101"/>
  <c r="E48" i="101"/>
  <c r="M47" i="101"/>
  <c r="N47" i="101" s="1"/>
  <c r="F47" i="101"/>
  <c r="E47" i="101"/>
  <c r="M46" i="101"/>
  <c r="P46" i="101" s="1"/>
  <c r="Q46" i="101" s="1"/>
  <c r="F46" i="101"/>
  <c r="E46" i="101"/>
  <c r="M45" i="101"/>
  <c r="P45" i="101" s="1"/>
  <c r="Q45" i="101" s="1"/>
  <c r="F45" i="101"/>
  <c r="E45" i="101"/>
  <c r="M44" i="101"/>
  <c r="N44" i="101" s="1"/>
  <c r="F44" i="101"/>
  <c r="E44" i="101"/>
  <c r="M43" i="101"/>
  <c r="N43" i="101" s="1"/>
  <c r="F43" i="101"/>
  <c r="E43" i="101"/>
  <c r="M42" i="101"/>
  <c r="N42" i="101" s="1"/>
  <c r="F42" i="101"/>
  <c r="E42" i="101"/>
  <c r="M41" i="101"/>
  <c r="P41" i="101" s="1"/>
  <c r="Q41" i="101" s="1"/>
  <c r="F41" i="101"/>
  <c r="E41" i="101"/>
  <c r="M40" i="101"/>
  <c r="P40" i="101" s="1"/>
  <c r="Q40" i="101" s="1"/>
  <c r="F40" i="101"/>
  <c r="E40" i="101"/>
  <c r="M39" i="101"/>
  <c r="N39" i="101" s="1"/>
  <c r="F39" i="101"/>
  <c r="E39" i="101"/>
  <c r="M38" i="101"/>
  <c r="P38" i="101" s="1"/>
  <c r="Q38" i="101" s="1"/>
  <c r="F38" i="101"/>
  <c r="E38" i="101"/>
  <c r="M37" i="101"/>
  <c r="P37" i="101" s="1"/>
  <c r="Q37" i="101" s="1"/>
  <c r="F37" i="101"/>
  <c r="E37" i="101"/>
  <c r="M36" i="101"/>
  <c r="N36" i="101" s="1"/>
  <c r="F36" i="101"/>
  <c r="E36" i="101"/>
  <c r="M35" i="101"/>
  <c r="P35" i="101" s="1"/>
  <c r="Q35" i="101" s="1"/>
  <c r="F35" i="101"/>
  <c r="E35" i="101"/>
  <c r="M34" i="101"/>
  <c r="N34" i="101" s="1"/>
  <c r="F34" i="101"/>
  <c r="E34" i="101"/>
  <c r="M33" i="101"/>
  <c r="F33" i="101"/>
  <c r="E33" i="101"/>
  <c r="M32" i="101"/>
  <c r="P32" i="101" s="1"/>
  <c r="Q32" i="101" s="1"/>
  <c r="F32" i="101"/>
  <c r="E32" i="101"/>
  <c r="M31" i="101"/>
  <c r="P31" i="101" s="1"/>
  <c r="Q31" i="101" s="1"/>
  <c r="F31" i="101"/>
  <c r="E31" i="101"/>
  <c r="M30" i="101"/>
  <c r="P30" i="101" s="1"/>
  <c r="Q30" i="101" s="1"/>
  <c r="F30" i="101"/>
  <c r="E30" i="101"/>
  <c r="M29" i="101"/>
  <c r="P29" i="101" s="1"/>
  <c r="Q29" i="101" s="1"/>
  <c r="F29" i="101"/>
  <c r="E29" i="101"/>
  <c r="M28" i="101"/>
  <c r="P28" i="101" s="1"/>
  <c r="Q28" i="101" s="1"/>
  <c r="F28" i="101"/>
  <c r="E28" i="101"/>
  <c r="M27" i="101"/>
  <c r="N27" i="101" s="1"/>
  <c r="F27" i="101"/>
  <c r="E27" i="101"/>
  <c r="M26" i="101"/>
  <c r="P26" i="101" s="1"/>
  <c r="Q26" i="101" s="1"/>
  <c r="F26" i="101"/>
  <c r="E26" i="101"/>
  <c r="M25" i="101"/>
  <c r="N25" i="101" s="1"/>
  <c r="F25" i="101"/>
  <c r="E25" i="101"/>
  <c r="M24" i="101"/>
  <c r="N24" i="101" s="1"/>
  <c r="F24" i="101"/>
  <c r="E24" i="101"/>
  <c r="F23" i="101"/>
  <c r="E23" i="101"/>
  <c r="M22" i="101"/>
  <c r="P22" i="101" s="1"/>
  <c r="Q22" i="101" s="1"/>
  <c r="F22" i="101"/>
  <c r="E22" i="101"/>
  <c r="M21" i="101"/>
  <c r="P21" i="101" s="1"/>
  <c r="Q21" i="101" s="1"/>
  <c r="F21" i="101"/>
  <c r="G21" i="101" s="1"/>
  <c r="E21" i="101"/>
  <c r="M20" i="101"/>
  <c r="N20" i="101" s="1"/>
  <c r="F20" i="101"/>
  <c r="E20" i="101"/>
  <c r="G20" i="101" s="1"/>
  <c r="M19" i="101"/>
  <c r="P19" i="101" s="1"/>
  <c r="Q19" i="101" s="1"/>
  <c r="F19" i="101"/>
  <c r="E19" i="101"/>
  <c r="M18" i="101"/>
  <c r="P18" i="101" s="1"/>
  <c r="Q18" i="101" s="1"/>
  <c r="F18" i="101"/>
  <c r="E18" i="101"/>
  <c r="M17" i="101"/>
  <c r="N17" i="101" s="1"/>
  <c r="F17" i="101"/>
  <c r="G17" i="101" s="1"/>
  <c r="E17" i="101"/>
  <c r="M16" i="101"/>
  <c r="N16" i="101" s="1"/>
  <c r="F16" i="101"/>
  <c r="E16" i="101"/>
  <c r="G16" i="101" s="1"/>
  <c r="M15" i="101"/>
  <c r="N15" i="101" s="1"/>
  <c r="F15" i="101"/>
  <c r="E15" i="101"/>
  <c r="G15" i="101" s="1"/>
  <c r="M14" i="101"/>
  <c r="P14" i="101" s="1"/>
  <c r="Q14" i="101" s="1"/>
  <c r="F14" i="101"/>
  <c r="E14" i="101"/>
  <c r="G14" i="101" s="1"/>
  <c r="M13" i="101"/>
  <c r="P13" i="101" s="1"/>
  <c r="Q13" i="101" s="1"/>
  <c r="F13" i="101"/>
  <c r="E13" i="101"/>
  <c r="M12" i="101"/>
  <c r="N12" i="101" s="1"/>
  <c r="F12" i="101"/>
  <c r="E12" i="101"/>
  <c r="G12" i="101" s="1"/>
  <c r="M11" i="101"/>
  <c r="P11" i="101" s="1"/>
  <c r="Q11" i="101" s="1"/>
  <c r="F11" i="101"/>
  <c r="E11" i="101"/>
  <c r="G11" i="101" s="1"/>
  <c r="M10" i="101"/>
  <c r="P10" i="101" s="1"/>
  <c r="Q10" i="101" s="1"/>
  <c r="F10" i="101"/>
  <c r="E10" i="101"/>
  <c r="M9" i="101"/>
  <c r="N9" i="101" s="1"/>
  <c r="F9" i="101"/>
  <c r="E9" i="101"/>
  <c r="M8" i="101"/>
  <c r="P8" i="101" s="1"/>
  <c r="Q8" i="101" s="1"/>
  <c r="F8" i="101"/>
  <c r="E8" i="101"/>
  <c r="G8" i="101" s="1"/>
  <c r="M7" i="101"/>
  <c r="N7" i="101" s="1"/>
  <c r="F7" i="101"/>
  <c r="E7" i="101"/>
  <c r="G7" i="101" s="1"/>
  <c r="M6" i="101"/>
  <c r="P6" i="101" s="1"/>
  <c r="Q6" i="101" s="1"/>
  <c r="F6" i="101"/>
  <c r="E6" i="101"/>
  <c r="G6" i="101" s="1"/>
  <c r="M5" i="101"/>
  <c r="P5" i="101" s="1"/>
  <c r="Q5" i="101" s="1"/>
  <c r="F5" i="101"/>
  <c r="E5" i="101"/>
  <c r="M4" i="101"/>
  <c r="P4" i="101" s="1"/>
  <c r="Q4" i="101" s="1"/>
  <c r="F4" i="101"/>
  <c r="E4" i="101"/>
  <c r="G4" i="101" s="1"/>
  <c r="F62" i="100"/>
  <c r="F61" i="100"/>
  <c r="F60" i="100"/>
  <c r="F59" i="100"/>
  <c r="F58" i="100"/>
  <c r="F57" i="100"/>
  <c r="F56" i="100"/>
  <c r="F55" i="100"/>
  <c r="F54" i="100"/>
  <c r="F53" i="100"/>
  <c r="F52" i="100"/>
  <c r="F51" i="100"/>
  <c r="F50" i="100"/>
  <c r="F49" i="100"/>
  <c r="F48" i="100"/>
  <c r="F47" i="100"/>
  <c r="F46" i="100"/>
  <c r="F45" i="100"/>
  <c r="F44" i="100"/>
  <c r="F43" i="100"/>
  <c r="F42" i="100"/>
  <c r="F41" i="100"/>
  <c r="F40" i="100"/>
  <c r="F39" i="100"/>
  <c r="F38" i="100"/>
  <c r="F37" i="100"/>
  <c r="F36" i="100"/>
  <c r="F35" i="100"/>
  <c r="F34" i="100"/>
  <c r="F33" i="100"/>
  <c r="F32" i="100"/>
  <c r="F31" i="100"/>
  <c r="F30" i="100"/>
  <c r="F29" i="100"/>
  <c r="F28" i="100"/>
  <c r="F27" i="100"/>
  <c r="F26" i="100"/>
  <c r="F25" i="100"/>
  <c r="F24" i="100"/>
  <c r="F23" i="100"/>
  <c r="F22" i="100"/>
  <c r="F21" i="100"/>
  <c r="F20" i="100"/>
  <c r="F19" i="100"/>
  <c r="F18" i="100"/>
  <c r="F17" i="100"/>
  <c r="F16" i="100"/>
  <c r="F15" i="100"/>
  <c r="F14" i="100"/>
  <c r="F13" i="100"/>
  <c r="F12" i="100"/>
  <c r="F11" i="100"/>
  <c r="F10" i="100"/>
  <c r="F64" i="100" s="1"/>
  <c r="F9" i="100"/>
  <c r="F8" i="100"/>
  <c r="F7" i="100"/>
  <c r="F6" i="100"/>
  <c r="F5" i="100"/>
  <c r="F4" i="100"/>
  <c r="M12" i="100"/>
  <c r="P51" i="101" l="1"/>
  <c r="Q51" i="101" s="1"/>
  <c r="P56" i="101"/>
  <c r="Q56" i="101" s="1"/>
  <c r="P36" i="101"/>
  <c r="Q36" i="101" s="1"/>
  <c r="G5" i="101"/>
  <c r="G9" i="101"/>
  <c r="G10" i="101"/>
  <c r="G13" i="101"/>
  <c r="G65" i="101" s="1"/>
  <c r="N6" i="101"/>
  <c r="P9" i="101"/>
  <c r="Q9" i="101" s="1"/>
  <c r="N41" i="101"/>
  <c r="P39" i="101"/>
  <c r="Q39" i="101" s="1"/>
  <c r="N62" i="101"/>
  <c r="N30" i="101"/>
  <c r="P16" i="101"/>
  <c r="Q16" i="101" s="1"/>
  <c r="P20" i="101"/>
  <c r="Q20" i="101" s="1"/>
  <c r="N22" i="101"/>
  <c r="N29" i="101"/>
  <c r="P47" i="101"/>
  <c r="Q47" i="101" s="1"/>
  <c r="N49" i="101"/>
  <c r="P53" i="101"/>
  <c r="Q53" i="101" s="1"/>
  <c r="P60" i="101"/>
  <c r="Q60" i="101" s="1"/>
  <c r="K65" i="101"/>
  <c r="N26" i="101"/>
  <c r="N14" i="101"/>
  <c r="F65" i="101"/>
  <c r="N58" i="101"/>
  <c r="P43" i="101"/>
  <c r="Q43" i="101" s="1"/>
  <c r="P17" i="101"/>
  <c r="Q17" i="101" s="1"/>
  <c r="P12" i="101"/>
  <c r="Q12" i="101" s="1"/>
  <c r="N11" i="101"/>
  <c r="N32" i="101"/>
  <c r="N38" i="101"/>
  <c r="N55" i="101"/>
  <c r="N4" i="101"/>
  <c r="N8" i="101"/>
  <c r="N19" i="101"/>
  <c r="N35" i="101"/>
  <c r="N46" i="101"/>
  <c r="P44" i="101"/>
  <c r="Q44" i="101" s="1"/>
  <c r="P61" i="101"/>
  <c r="Q61" i="101" s="1"/>
  <c r="P27" i="101"/>
  <c r="Q27" i="101" s="1"/>
  <c r="N33" i="101"/>
  <c r="P33" i="101"/>
  <c r="Q33" i="101" s="1"/>
  <c r="P52" i="101"/>
  <c r="Q52" i="101" s="1"/>
  <c r="N52" i="101"/>
  <c r="P15" i="101"/>
  <c r="Q15" i="101" s="1"/>
  <c r="P25" i="101"/>
  <c r="Q25" i="101" s="1"/>
  <c r="P34" i="101"/>
  <c r="Q34" i="101" s="1"/>
  <c r="P42" i="101"/>
  <c r="Q42" i="101" s="1"/>
  <c r="P50" i="101"/>
  <c r="Q50" i="101" s="1"/>
  <c r="P59" i="101"/>
  <c r="Q59" i="101" s="1"/>
  <c r="N5" i="101"/>
  <c r="N13" i="101"/>
  <c r="N21" i="101"/>
  <c r="N31" i="101"/>
  <c r="N40" i="101"/>
  <c r="N48" i="101"/>
  <c r="N57" i="101"/>
  <c r="E65" i="101"/>
  <c r="P24" i="101"/>
  <c r="Q24" i="101" s="1"/>
  <c r="N10" i="101"/>
  <c r="N18" i="101"/>
  <c r="N28" i="101"/>
  <c r="N37" i="101"/>
  <c r="N45" i="101"/>
  <c r="N54" i="101"/>
  <c r="N63" i="101"/>
  <c r="P7" i="101"/>
  <c r="Q7" i="101" s="1"/>
  <c r="M61" i="100"/>
  <c r="P61" i="100" s="1"/>
  <c r="Q61" i="100" s="1"/>
  <c r="E61" i="100"/>
  <c r="K33" i="100"/>
  <c r="M33" i="100" s="1"/>
  <c r="P33" i="100" s="1"/>
  <c r="Q33" i="100" s="1"/>
  <c r="K25" i="100"/>
  <c r="M25" i="100" s="1"/>
  <c r="P25" i="100" s="1"/>
  <c r="Q25" i="100" s="1"/>
  <c r="K23" i="100"/>
  <c r="L64" i="100"/>
  <c r="J64" i="100"/>
  <c r="J65" i="100" s="1"/>
  <c r="I64" i="100"/>
  <c r="I65" i="100" s="1"/>
  <c r="H64" i="100"/>
  <c r="D64" i="100"/>
  <c r="C64" i="100"/>
  <c r="M62" i="100"/>
  <c r="P62" i="100" s="1"/>
  <c r="Q62" i="100" s="1"/>
  <c r="E62" i="100"/>
  <c r="M60" i="100"/>
  <c r="N60" i="100" s="1"/>
  <c r="E60" i="100"/>
  <c r="G60" i="100" s="1"/>
  <c r="M59" i="100"/>
  <c r="P59" i="100" s="1"/>
  <c r="Q59" i="100" s="1"/>
  <c r="E59" i="100"/>
  <c r="M58" i="100"/>
  <c r="P58" i="100" s="1"/>
  <c r="Q58" i="100" s="1"/>
  <c r="E58" i="100"/>
  <c r="M57" i="100"/>
  <c r="N57" i="100" s="1"/>
  <c r="E57" i="100"/>
  <c r="G57" i="100" s="1"/>
  <c r="M56" i="100"/>
  <c r="P56" i="100" s="1"/>
  <c r="Q56" i="100" s="1"/>
  <c r="E56" i="100"/>
  <c r="G56" i="100" s="1"/>
  <c r="M55" i="100"/>
  <c r="P55" i="100" s="1"/>
  <c r="Q55" i="100" s="1"/>
  <c r="E55" i="100"/>
  <c r="M54" i="100"/>
  <c r="P54" i="100" s="1"/>
  <c r="Q54" i="100" s="1"/>
  <c r="E54" i="100"/>
  <c r="M53" i="100"/>
  <c r="P53" i="100" s="1"/>
  <c r="Q53" i="100" s="1"/>
  <c r="E53" i="100"/>
  <c r="K52" i="100"/>
  <c r="M52" i="100" s="1"/>
  <c r="P52" i="100" s="1"/>
  <c r="Q52" i="100" s="1"/>
  <c r="E52" i="100"/>
  <c r="M51" i="100"/>
  <c r="N51" i="100" s="1"/>
  <c r="E51" i="100"/>
  <c r="G51" i="100" s="1"/>
  <c r="M50" i="100"/>
  <c r="P50" i="100" s="1"/>
  <c r="Q50" i="100" s="1"/>
  <c r="E50" i="100"/>
  <c r="M49" i="100"/>
  <c r="P49" i="100" s="1"/>
  <c r="Q49" i="100" s="1"/>
  <c r="E49" i="100"/>
  <c r="G49" i="100" s="1"/>
  <c r="M48" i="100"/>
  <c r="P48" i="100" s="1"/>
  <c r="Q48" i="100" s="1"/>
  <c r="E48" i="100"/>
  <c r="M47" i="100"/>
  <c r="P47" i="100" s="1"/>
  <c r="Q47" i="100" s="1"/>
  <c r="E47" i="100"/>
  <c r="G47" i="100" s="1"/>
  <c r="M46" i="100"/>
  <c r="P46" i="100" s="1"/>
  <c r="Q46" i="100" s="1"/>
  <c r="E46" i="100"/>
  <c r="G46" i="100" s="1"/>
  <c r="M45" i="100"/>
  <c r="N45" i="100" s="1"/>
  <c r="E45" i="100"/>
  <c r="M44" i="100"/>
  <c r="P44" i="100" s="1"/>
  <c r="Q44" i="100" s="1"/>
  <c r="E44" i="100"/>
  <c r="M43" i="100"/>
  <c r="P43" i="100" s="1"/>
  <c r="Q43" i="100" s="1"/>
  <c r="E43" i="100"/>
  <c r="G43" i="100" s="1"/>
  <c r="M42" i="100"/>
  <c r="P42" i="100" s="1"/>
  <c r="Q42" i="100" s="1"/>
  <c r="E42" i="100"/>
  <c r="M41" i="100"/>
  <c r="P41" i="100" s="1"/>
  <c r="Q41" i="100" s="1"/>
  <c r="E41" i="100"/>
  <c r="G41" i="100" s="1"/>
  <c r="M40" i="100"/>
  <c r="P40" i="100" s="1"/>
  <c r="Q40" i="100" s="1"/>
  <c r="E40" i="100"/>
  <c r="G40" i="100" s="1"/>
  <c r="M39" i="100"/>
  <c r="P39" i="100" s="1"/>
  <c r="Q39" i="100" s="1"/>
  <c r="E39" i="100"/>
  <c r="G39" i="100" s="1"/>
  <c r="M38" i="100"/>
  <c r="P38" i="100" s="1"/>
  <c r="Q38" i="100" s="1"/>
  <c r="E38" i="100"/>
  <c r="M37" i="100"/>
  <c r="N37" i="100" s="1"/>
  <c r="E37" i="100"/>
  <c r="M36" i="100"/>
  <c r="P36" i="100" s="1"/>
  <c r="Q36" i="100" s="1"/>
  <c r="E36" i="100"/>
  <c r="M35" i="100"/>
  <c r="N35" i="100" s="1"/>
  <c r="E35" i="100"/>
  <c r="M34" i="100"/>
  <c r="P34" i="100" s="1"/>
  <c r="Q34" i="100" s="1"/>
  <c r="E34" i="100"/>
  <c r="E33" i="100"/>
  <c r="G33" i="100" s="1"/>
  <c r="M32" i="100"/>
  <c r="P32" i="100" s="1"/>
  <c r="Q32" i="100" s="1"/>
  <c r="E32" i="100"/>
  <c r="G32" i="100" s="1"/>
  <c r="M31" i="100"/>
  <c r="P31" i="100" s="1"/>
  <c r="Q31" i="100" s="1"/>
  <c r="E31" i="100"/>
  <c r="M30" i="100"/>
  <c r="P30" i="100" s="1"/>
  <c r="Q30" i="100" s="1"/>
  <c r="E30" i="100"/>
  <c r="G30" i="100" s="1"/>
  <c r="M29" i="100"/>
  <c r="P29" i="100" s="1"/>
  <c r="Q29" i="100" s="1"/>
  <c r="E29" i="100"/>
  <c r="G29" i="100" s="1"/>
  <c r="M28" i="100"/>
  <c r="N28" i="100" s="1"/>
  <c r="E28" i="100"/>
  <c r="M27" i="100"/>
  <c r="P27" i="100" s="1"/>
  <c r="Q27" i="100" s="1"/>
  <c r="E27" i="100"/>
  <c r="M26" i="100"/>
  <c r="P26" i="100" s="1"/>
  <c r="Q26" i="100" s="1"/>
  <c r="E26" i="100"/>
  <c r="E25" i="100"/>
  <c r="M24" i="100"/>
  <c r="P24" i="100" s="1"/>
  <c r="Q24" i="100" s="1"/>
  <c r="E24" i="100"/>
  <c r="G24" i="100" s="1"/>
  <c r="M23" i="100"/>
  <c r="P23" i="100" s="1"/>
  <c r="Q23" i="100" s="1"/>
  <c r="E23" i="100"/>
  <c r="M22" i="100"/>
  <c r="P22" i="100" s="1"/>
  <c r="Q22" i="100" s="1"/>
  <c r="E22" i="100"/>
  <c r="G22" i="100" s="1"/>
  <c r="M21" i="100"/>
  <c r="N21" i="100" s="1"/>
  <c r="E21" i="100"/>
  <c r="G21" i="100" s="1"/>
  <c r="M20" i="100"/>
  <c r="P20" i="100" s="1"/>
  <c r="Q20" i="100" s="1"/>
  <c r="E20" i="100"/>
  <c r="G20" i="100" s="1"/>
  <c r="M19" i="100"/>
  <c r="P19" i="100" s="1"/>
  <c r="Q19" i="100" s="1"/>
  <c r="E19" i="100"/>
  <c r="G19" i="100" s="1"/>
  <c r="M18" i="100"/>
  <c r="N18" i="100" s="1"/>
  <c r="E18" i="100"/>
  <c r="M17" i="100"/>
  <c r="P17" i="100" s="1"/>
  <c r="Q17" i="100" s="1"/>
  <c r="E17" i="100"/>
  <c r="M16" i="100"/>
  <c r="N16" i="100" s="1"/>
  <c r="E16" i="100"/>
  <c r="M15" i="100"/>
  <c r="P15" i="100" s="1"/>
  <c r="Q15" i="100" s="1"/>
  <c r="E15" i="100"/>
  <c r="M14" i="100"/>
  <c r="P14" i="100" s="1"/>
  <c r="Q14" i="100" s="1"/>
  <c r="E14" i="100"/>
  <c r="M13" i="100"/>
  <c r="N13" i="100" s="1"/>
  <c r="E13" i="100"/>
  <c r="G13" i="100" s="1"/>
  <c r="P12" i="100"/>
  <c r="Q12" i="100" s="1"/>
  <c r="E12" i="100"/>
  <c r="G12" i="100" s="1"/>
  <c r="M11" i="100"/>
  <c r="N11" i="100" s="1"/>
  <c r="E11" i="100"/>
  <c r="G11" i="100" s="1"/>
  <c r="M10" i="100"/>
  <c r="N10" i="100" s="1"/>
  <c r="E10" i="100"/>
  <c r="M9" i="100"/>
  <c r="P9" i="100" s="1"/>
  <c r="Q9" i="100" s="1"/>
  <c r="E9" i="100"/>
  <c r="M8" i="100"/>
  <c r="N8" i="100" s="1"/>
  <c r="E8" i="100"/>
  <c r="G8" i="100" s="1"/>
  <c r="M7" i="100"/>
  <c r="P7" i="100" s="1"/>
  <c r="Q7" i="100" s="1"/>
  <c r="E7" i="100"/>
  <c r="M6" i="100"/>
  <c r="P6" i="100" s="1"/>
  <c r="Q6" i="100" s="1"/>
  <c r="E6" i="100"/>
  <c r="M5" i="100"/>
  <c r="N5" i="100" s="1"/>
  <c r="E5" i="100"/>
  <c r="G5" i="100" s="1"/>
  <c r="M4" i="100"/>
  <c r="P4" i="100" s="1"/>
  <c r="Q4" i="100" s="1"/>
  <c r="E4" i="100"/>
  <c r="G4" i="100" s="1"/>
  <c r="P23" i="101" l="1"/>
  <c r="N23" i="101"/>
  <c r="N65" i="101" s="1"/>
  <c r="M65" i="101"/>
  <c r="G6" i="100"/>
  <c r="G64" i="100" s="1"/>
  <c r="G14" i="100"/>
  <c r="G59" i="100"/>
  <c r="G36" i="100"/>
  <c r="G61" i="100"/>
  <c r="G15" i="100"/>
  <c r="G23" i="100"/>
  <c r="G31" i="100"/>
  <c r="G34" i="100"/>
  <c r="G42" i="100"/>
  <c r="G50" i="100"/>
  <c r="G54" i="100"/>
  <c r="G26" i="100"/>
  <c r="G7" i="100"/>
  <c r="G9" i="100"/>
  <c r="G27" i="100"/>
  <c r="G48" i="100"/>
  <c r="G58" i="100"/>
  <c r="P28" i="100"/>
  <c r="Q28" i="100" s="1"/>
  <c r="N6" i="100"/>
  <c r="N24" i="100"/>
  <c r="P35" i="100"/>
  <c r="Q35" i="100" s="1"/>
  <c r="P18" i="100"/>
  <c r="Q18" i="100" s="1"/>
  <c r="N61" i="100"/>
  <c r="N7" i="100"/>
  <c r="G10" i="100"/>
  <c r="G25" i="100"/>
  <c r="N27" i="100"/>
  <c r="G52" i="100"/>
  <c r="P51" i="100"/>
  <c r="Q51" i="100" s="1"/>
  <c r="G17" i="100"/>
  <c r="P37" i="100"/>
  <c r="Q37" i="100" s="1"/>
  <c r="G44" i="100"/>
  <c r="P60" i="100"/>
  <c r="Q60" i="100" s="1"/>
  <c r="E64" i="100"/>
  <c r="G28" i="100"/>
  <c r="G38" i="100"/>
  <c r="G55" i="100"/>
  <c r="G62" i="100"/>
  <c r="K64" i="100"/>
  <c r="G18" i="100"/>
  <c r="G45" i="100"/>
  <c r="G53" i="100"/>
  <c r="G16" i="100"/>
  <c r="N32" i="100"/>
  <c r="G35" i="100"/>
  <c r="G37" i="100"/>
  <c r="N52" i="100"/>
  <c r="P45" i="100"/>
  <c r="Q45" i="100" s="1"/>
  <c r="N43" i="100"/>
  <c r="P11" i="100"/>
  <c r="Q11" i="100" s="1"/>
  <c r="P16" i="100"/>
  <c r="Q16" i="100" s="1"/>
  <c r="P8" i="100"/>
  <c r="Q8" i="100" s="1"/>
  <c r="N42" i="100"/>
  <c r="N50" i="100"/>
  <c r="N59" i="100"/>
  <c r="P10" i="100"/>
  <c r="Q10" i="100" s="1"/>
  <c r="N15" i="100"/>
  <c r="N23" i="100"/>
  <c r="N26" i="100"/>
  <c r="N34" i="100"/>
  <c r="N54" i="100"/>
  <c r="N9" i="100"/>
  <c r="N22" i="100"/>
  <c r="N41" i="100"/>
  <c r="N49" i="100"/>
  <c r="N53" i="100"/>
  <c r="N58" i="100"/>
  <c r="N14" i="100"/>
  <c r="N17" i="100"/>
  <c r="N25" i="100"/>
  <c r="N33" i="100"/>
  <c r="N36" i="100"/>
  <c r="N44" i="100"/>
  <c r="N62" i="100"/>
  <c r="N31" i="100"/>
  <c r="N40" i="100"/>
  <c r="N48" i="100"/>
  <c r="N4" i="100"/>
  <c r="P5" i="100"/>
  <c r="Q5" i="100" s="1"/>
  <c r="N12" i="100"/>
  <c r="P13" i="100"/>
  <c r="Q13" i="100" s="1"/>
  <c r="N20" i="100"/>
  <c r="P21" i="100"/>
  <c r="Q21" i="100" s="1"/>
  <c r="N30" i="100"/>
  <c r="N39" i="100"/>
  <c r="N47" i="100"/>
  <c r="N56" i="100"/>
  <c r="P57" i="100"/>
  <c r="Q57" i="100" s="1"/>
  <c r="M64" i="100"/>
  <c r="N19" i="100"/>
  <c r="N29" i="100"/>
  <c r="N38" i="100"/>
  <c r="N46" i="100"/>
  <c r="N55" i="100"/>
  <c r="M13" i="99"/>
  <c r="N13" i="99" s="1"/>
  <c r="M24" i="99"/>
  <c r="K34" i="99"/>
  <c r="K24" i="99"/>
  <c r="K26" i="99"/>
  <c r="L64" i="99"/>
  <c r="J64" i="99"/>
  <c r="J65" i="99" s="1"/>
  <c r="I64" i="99"/>
  <c r="I65" i="99" s="1"/>
  <c r="H64" i="99"/>
  <c r="D64" i="99"/>
  <c r="C64" i="99"/>
  <c r="M62" i="99"/>
  <c r="N62" i="99" s="1"/>
  <c r="G62" i="99"/>
  <c r="F62" i="99"/>
  <c r="E62" i="99"/>
  <c r="M61" i="99"/>
  <c r="P61" i="99" s="1"/>
  <c r="Q61" i="99" s="1"/>
  <c r="G61" i="99"/>
  <c r="F61" i="99"/>
  <c r="E61" i="99"/>
  <c r="M60" i="99"/>
  <c r="N60" i="99" s="1"/>
  <c r="F60" i="99"/>
  <c r="G60" i="99" s="1"/>
  <c r="E60" i="99"/>
  <c r="M59" i="99"/>
  <c r="N59" i="99" s="1"/>
  <c r="F59" i="99"/>
  <c r="E59" i="99"/>
  <c r="G59" i="99" s="1"/>
  <c r="M58" i="99"/>
  <c r="N58" i="99" s="1"/>
  <c r="F58" i="99"/>
  <c r="E58" i="99"/>
  <c r="G58" i="99" s="1"/>
  <c r="M57" i="99"/>
  <c r="P57" i="99" s="1"/>
  <c r="Q57" i="99" s="1"/>
  <c r="F57" i="99"/>
  <c r="E57" i="99"/>
  <c r="G57" i="99" s="1"/>
  <c r="M56" i="99"/>
  <c r="N56" i="99" s="1"/>
  <c r="F56" i="99"/>
  <c r="E56" i="99"/>
  <c r="G56" i="99" s="1"/>
  <c r="M55" i="99"/>
  <c r="P55" i="99" s="1"/>
  <c r="Q55" i="99" s="1"/>
  <c r="F55" i="99"/>
  <c r="E55" i="99"/>
  <c r="G55" i="99" s="1"/>
  <c r="M54" i="99"/>
  <c r="N54" i="99" s="1"/>
  <c r="F54" i="99"/>
  <c r="E54" i="99"/>
  <c r="G54" i="99" s="1"/>
  <c r="K53" i="99"/>
  <c r="M53" i="99" s="1"/>
  <c r="F53" i="99"/>
  <c r="E53" i="99"/>
  <c r="G53" i="99" s="1"/>
  <c r="M52" i="99"/>
  <c r="P52" i="99" s="1"/>
  <c r="Q52" i="99" s="1"/>
  <c r="G52" i="99"/>
  <c r="F52" i="99"/>
  <c r="E52" i="99"/>
  <c r="M51" i="99"/>
  <c r="P51" i="99" s="1"/>
  <c r="Q51" i="99" s="1"/>
  <c r="F51" i="99"/>
  <c r="G51" i="99" s="1"/>
  <c r="E51" i="99"/>
  <c r="M50" i="99"/>
  <c r="P50" i="99" s="1"/>
  <c r="Q50" i="99" s="1"/>
  <c r="F50" i="99"/>
  <c r="E50" i="99"/>
  <c r="G50" i="99" s="1"/>
  <c r="M49" i="99"/>
  <c r="P49" i="99" s="1"/>
  <c r="Q49" i="99" s="1"/>
  <c r="F49" i="99"/>
  <c r="E49" i="99"/>
  <c r="G49" i="99" s="1"/>
  <c r="M48" i="99"/>
  <c r="P48" i="99" s="1"/>
  <c r="Q48" i="99" s="1"/>
  <c r="F48" i="99"/>
  <c r="E48" i="99"/>
  <c r="G48" i="99" s="1"/>
  <c r="M47" i="99"/>
  <c r="N47" i="99" s="1"/>
  <c r="F47" i="99"/>
  <c r="E47" i="99"/>
  <c r="G47" i="99" s="1"/>
  <c r="M46" i="99"/>
  <c r="P46" i="99" s="1"/>
  <c r="Q46" i="99" s="1"/>
  <c r="F46" i="99"/>
  <c r="E46" i="99"/>
  <c r="G46" i="99" s="1"/>
  <c r="M45" i="99"/>
  <c r="N45" i="99" s="1"/>
  <c r="F45" i="99"/>
  <c r="E45" i="99"/>
  <c r="G45" i="99" s="1"/>
  <c r="M44" i="99"/>
  <c r="N44" i="99" s="1"/>
  <c r="G44" i="99"/>
  <c r="F44" i="99"/>
  <c r="E44" i="99"/>
  <c r="M43" i="99"/>
  <c r="N43" i="99" s="1"/>
  <c r="F43" i="99"/>
  <c r="G43" i="99" s="1"/>
  <c r="E43" i="99"/>
  <c r="M42" i="99"/>
  <c r="P42" i="99" s="1"/>
  <c r="Q42" i="99" s="1"/>
  <c r="F42" i="99"/>
  <c r="E42" i="99"/>
  <c r="G42" i="99" s="1"/>
  <c r="M41" i="99"/>
  <c r="N41" i="99" s="1"/>
  <c r="F41" i="99"/>
  <c r="E41" i="99"/>
  <c r="G41" i="99" s="1"/>
  <c r="M40" i="99"/>
  <c r="P40" i="99" s="1"/>
  <c r="Q40" i="99" s="1"/>
  <c r="F40" i="99"/>
  <c r="E40" i="99"/>
  <c r="G40" i="99" s="1"/>
  <c r="M39" i="99"/>
  <c r="N39" i="99" s="1"/>
  <c r="F39" i="99"/>
  <c r="E39" i="99"/>
  <c r="G39" i="99" s="1"/>
  <c r="M38" i="99"/>
  <c r="N38" i="99" s="1"/>
  <c r="F38" i="99"/>
  <c r="E38" i="99"/>
  <c r="G38" i="99" s="1"/>
  <c r="M37" i="99"/>
  <c r="F37" i="99"/>
  <c r="E37" i="99"/>
  <c r="G37" i="99" s="1"/>
  <c r="M36" i="99"/>
  <c r="N36" i="99" s="1"/>
  <c r="G36" i="99"/>
  <c r="F36" i="99"/>
  <c r="E36" i="99"/>
  <c r="M35" i="99"/>
  <c r="P35" i="99" s="1"/>
  <c r="Q35" i="99" s="1"/>
  <c r="F35" i="99"/>
  <c r="G35" i="99" s="1"/>
  <c r="E35" i="99"/>
  <c r="M34" i="99"/>
  <c r="P34" i="99" s="1"/>
  <c r="Q34" i="99" s="1"/>
  <c r="F34" i="99"/>
  <c r="E34" i="99"/>
  <c r="M33" i="99"/>
  <c r="P33" i="99" s="1"/>
  <c r="Q33" i="99" s="1"/>
  <c r="F33" i="99"/>
  <c r="E33" i="99"/>
  <c r="G33" i="99" s="1"/>
  <c r="M32" i="99"/>
  <c r="P32" i="99" s="1"/>
  <c r="Q32" i="99" s="1"/>
  <c r="F32" i="99"/>
  <c r="E32" i="99"/>
  <c r="G32" i="99" s="1"/>
  <c r="M31" i="99"/>
  <c r="N31" i="99" s="1"/>
  <c r="F31" i="99"/>
  <c r="E31" i="99"/>
  <c r="G31" i="99" s="1"/>
  <c r="M30" i="99"/>
  <c r="N30" i="99" s="1"/>
  <c r="F30" i="99"/>
  <c r="E30" i="99"/>
  <c r="G30" i="99" s="1"/>
  <c r="M29" i="99"/>
  <c r="P29" i="99" s="1"/>
  <c r="Q29" i="99" s="1"/>
  <c r="F29" i="99"/>
  <c r="E29" i="99"/>
  <c r="G29" i="99" s="1"/>
  <c r="M28" i="99"/>
  <c r="G28" i="99"/>
  <c r="F28" i="99"/>
  <c r="E28" i="99"/>
  <c r="M27" i="99"/>
  <c r="N27" i="99" s="1"/>
  <c r="G27" i="99"/>
  <c r="F27" i="99"/>
  <c r="E27" i="99"/>
  <c r="M26" i="99"/>
  <c r="G26" i="99"/>
  <c r="F26" i="99"/>
  <c r="E26" i="99"/>
  <c r="M25" i="99"/>
  <c r="P25" i="99" s="1"/>
  <c r="Q25" i="99" s="1"/>
  <c r="G25" i="99"/>
  <c r="F25" i="99"/>
  <c r="E25" i="99"/>
  <c r="F24" i="99"/>
  <c r="E24" i="99"/>
  <c r="M23" i="99"/>
  <c r="N23" i="99" s="1"/>
  <c r="F23" i="99"/>
  <c r="E23" i="99"/>
  <c r="G23" i="99" s="1"/>
  <c r="M22" i="99"/>
  <c r="P22" i="99" s="1"/>
  <c r="Q22" i="99" s="1"/>
  <c r="F22" i="99"/>
  <c r="E22" i="99"/>
  <c r="G22" i="99" s="1"/>
  <c r="M21" i="99"/>
  <c r="N21" i="99" s="1"/>
  <c r="F21" i="99"/>
  <c r="E21" i="99"/>
  <c r="G21" i="99" s="1"/>
  <c r="M20" i="99"/>
  <c r="P20" i="99" s="1"/>
  <c r="Q20" i="99" s="1"/>
  <c r="F20" i="99"/>
  <c r="E20" i="99"/>
  <c r="G20" i="99" s="1"/>
  <c r="M19" i="99"/>
  <c r="P19" i="99" s="1"/>
  <c r="Q19" i="99" s="1"/>
  <c r="F19" i="99"/>
  <c r="E19" i="99"/>
  <c r="G19" i="99" s="1"/>
  <c r="M18" i="99"/>
  <c r="F18" i="99"/>
  <c r="E18" i="99"/>
  <c r="G18" i="99" s="1"/>
  <c r="M17" i="99"/>
  <c r="F17" i="99"/>
  <c r="E17" i="99"/>
  <c r="G17" i="99" s="1"/>
  <c r="M16" i="99"/>
  <c r="P16" i="99" s="1"/>
  <c r="Q16" i="99" s="1"/>
  <c r="G16" i="99"/>
  <c r="F16" i="99"/>
  <c r="E16" i="99"/>
  <c r="M15" i="99"/>
  <c r="P15" i="99" s="1"/>
  <c r="Q15" i="99" s="1"/>
  <c r="G15" i="99"/>
  <c r="F15" i="99"/>
  <c r="E15" i="99"/>
  <c r="M14" i="99"/>
  <c r="P14" i="99" s="1"/>
  <c r="Q14" i="99" s="1"/>
  <c r="F14" i="99"/>
  <c r="E14" i="99"/>
  <c r="F13" i="99"/>
  <c r="E13" i="99"/>
  <c r="G13" i="99" s="1"/>
  <c r="M12" i="99"/>
  <c r="P12" i="99" s="1"/>
  <c r="Q12" i="99" s="1"/>
  <c r="F12" i="99"/>
  <c r="E12" i="99"/>
  <c r="G12" i="99" s="1"/>
  <c r="M11" i="99"/>
  <c r="N11" i="99" s="1"/>
  <c r="F11" i="99"/>
  <c r="E11" i="99"/>
  <c r="G11" i="99" s="1"/>
  <c r="M10" i="99"/>
  <c r="N10" i="99" s="1"/>
  <c r="F10" i="99"/>
  <c r="E10" i="99"/>
  <c r="G10" i="99" s="1"/>
  <c r="M9" i="99"/>
  <c r="P9" i="99" s="1"/>
  <c r="Q9" i="99" s="1"/>
  <c r="F9" i="99"/>
  <c r="E9" i="99"/>
  <c r="G9" i="99" s="1"/>
  <c r="M8" i="99"/>
  <c r="G8" i="99"/>
  <c r="F8" i="99"/>
  <c r="E8" i="99"/>
  <c r="M7" i="99"/>
  <c r="P7" i="99" s="1"/>
  <c r="Q7" i="99" s="1"/>
  <c r="G7" i="99"/>
  <c r="F7" i="99"/>
  <c r="E7" i="99"/>
  <c r="M6" i="99"/>
  <c r="P6" i="99" s="1"/>
  <c r="Q6" i="99" s="1"/>
  <c r="F6" i="99"/>
  <c r="E6" i="99"/>
  <c r="M5" i="99"/>
  <c r="F5" i="99"/>
  <c r="E5" i="99"/>
  <c r="Q4" i="99"/>
  <c r="P4" i="99"/>
  <c r="N4" i="99"/>
  <c r="M24" i="98"/>
  <c r="K24" i="98"/>
  <c r="N46" i="99" l="1"/>
  <c r="Q23" i="101"/>
  <c r="Q65" i="101" s="1"/>
  <c r="R65" i="101" s="1"/>
  <c r="P65" i="101"/>
  <c r="N64" i="100"/>
  <c r="Q64" i="100"/>
  <c r="P64" i="100"/>
  <c r="P21" i="99"/>
  <c r="Q21" i="99" s="1"/>
  <c r="P56" i="99"/>
  <c r="Q56" i="99" s="1"/>
  <c r="P31" i="99"/>
  <c r="Q31" i="99" s="1"/>
  <c r="P38" i="99"/>
  <c r="Q38" i="99" s="1"/>
  <c r="P10" i="99"/>
  <c r="Q10" i="99" s="1"/>
  <c r="P47" i="99"/>
  <c r="Q47" i="99" s="1"/>
  <c r="N20" i="99"/>
  <c r="P30" i="99"/>
  <c r="Q30" i="99" s="1"/>
  <c r="N55" i="99"/>
  <c r="N9" i="99"/>
  <c r="P11" i="99"/>
  <c r="Q11" i="99" s="1"/>
  <c r="P39" i="99"/>
  <c r="Q39" i="99" s="1"/>
  <c r="P18" i="99"/>
  <c r="Q18" i="99" s="1"/>
  <c r="N18" i="99"/>
  <c r="P17" i="99"/>
  <c r="Q17" i="99" s="1"/>
  <c r="N17" i="99"/>
  <c r="P8" i="99"/>
  <c r="Q8" i="99" s="1"/>
  <c r="N8" i="99"/>
  <c r="P24" i="99"/>
  <c r="Q24" i="99" s="1"/>
  <c r="N24" i="99"/>
  <c r="N28" i="99"/>
  <c r="P28" i="99"/>
  <c r="Q28" i="99" s="1"/>
  <c r="N26" i="99"/>
  <c r="P26" i="99"/>
  <c r="Q26" i="99" s="1"/>
  <c r="E64" i="99"/>
  <c r="G5" i="99"/>
  <c r="G64" i="99" s="1"/>
  <c r="N37" i="99"/>
  <c r="P37" i="99"/>
  <c r="Q37" i="99" s="1"/>
  <c r="N53" i="99"/>
  <c r="P53" i="99"/>
  <c r="Q53" i="99" s="1"/>
  <c r="F64" i="99"/>
  <c r="M64" i="99"/>
  <c r="N29" i="99"/>
  <c r="G6" i="99"/>
  <c r="G14" i="99"/>
  <c r="N16" i="99"/>
  <c r="K64" i="99"/>
  <c r="N19" i="99"/>
  <c r="G24" i="99"/>
  <c r="G34" i="99"/>
  <c r="N61" i="99"/>
  <c r="P45" i="99"/>
  <c r="Q45" i="99" s="1"/>
  <c r="N52" i="99"/>
  <c r="P62" i="99"/>
  <c r="Q62" i="99" s="1"/>
  <c r="N7" i="99"/>
  <c r="N35" i="99"/>
  <c r="P44" i="99"/>
  <c r="Q44" i="99" s="1"/>
  <c r="N51" i="99"/>
  <c r="N6" i="99"/>
  <c r="N14" i="99"/>
  <c r="N25" i="99"/>
  <c r="P27" i="99"/>
  <c r="Q27" i="99" s="1"/>
  <c r="N34" i="99"/>
  <c r="P43" i="99"/>
  <c r="Q43" i="99" s="1"/>
  <c r="N50" i="99"/>
  <c r="P60" i="99"/>
  <c r="Q60" i="99" s="1"/>
  <c r="N5" i="99"/>
  <c r="N33" i="99"/>
  <c r="N49" i="99"/>
  <c r="P59" i="99"/>
  <c r="Q59" i="99" s="1"/>
  <c r="P5" i="99"/>
  <c r="Q5" i="99" s="1"/>
  <c r="N12" i="99"/>
  <c r="P13" i="99"/>
  <c r="Q13" i="99" s="1"/>
  <c r="N22" i="99"/>
  <c r="P23" i="99"/>
  <c r="Q23" i="99" s="1"/>
  <c r="N32" i="99"/>
  <c r="N40" i="99"/>
  <c r="P41" i="99"/>
  <c r="Q41" i="99" s="1"/>
  <c r="N48" i="99"/>
  <c r="N57" i="99"/>
  <c r="P58" i="99"/>
  <c r="Q58" i="99" s="1"/>
  <c r="P54" i="99"/>
  <c r="Q54" i="99" s="1"/>
  <c r="N15" i="99"/>
  <c r="P36" i="99"/>
  <c r="Q36" i="99" s="1"/>
  <c r="N42" i="99"/>
  <c r="M61" i="98"/>
  <c r="K17" i="98"/>
  <c r="M13" i="98"/>
  <c r="P13" i="98" s="1"/>
  <c r="Q13" i="98" s="1"/>
  <c r="M17" i="98"/>
  <c r="P17" i="98" s="1"/>
  <c r="Q17" i="98" s="1"/>
  <c r="K26" i="98"/>
  <c r="M26" i="98" s="1"/>
  <c r="N26" i="98" s="1"/>
  <c r="L64" i="98"/>
  <c r="J64" i="98"/>
  <c r="J65" i="98" s="1"/>
  <c r="I64" i="98"/>
  <c r="I65" i="98" s="1"/>
  <c r="D64" i="98"/>
  <c r="C64" i="98"/>
  <c r="M62" i="98"/>
  <c r="P62" i="98" s="1"/>
  <c r="Q62" i="98" s="1"/>
  <c r="G62" i="98"/>
  <c r="F62" i="98"/>
  <c r="E62" i="98"/>
  <c r="N61" i="98"/>
  <c r="F61" i="98"/>
  <c r="G61" i="98" s="1"/>
  <c r="E61" i="98"/>
  <c r="M60" i="98"/>
  <c r="P60" i="98" s="1"/>
  <c r="Q60" i="98" s="1"/>
  <c r="F60" i="98"/>
  <c r="G60" i="98" s="1"/>
  <c r="E60" i="98"/>
  <c r="M59" i="98"/>
  <c r="N59" i="98" s="1"/>
  <c r="F59" i="98"/>
  <c r="E59" i="98"/>
  <c r="M58" i="98"/>
  <c r="N58" i="98" s="1"/>
  <c r="F58" i="98"/>
  <c r="E58" i="98"/>
  <c r="G58" i="98" s="1"/>
  <c r="M57" i="98"/>
  <c r="P57" i="98" s="1"/>
  <c r="Q57" i="98" s="1"/>
  <c r="F57" i="98"/>
  <c r="E57" i="98"/>
  <c r="M56" i="98"/>
  <c r="P56" i="98" s="1"/>
  <c r="Q56" i="98" s="1"/>
  <c r="F56" i="98"/>
  <c r="E56" i="98"/>
  <c r="G56" i="98" s="1"/>
  <c r="M55" i="98"/>
  <c r="N55" i="98" s="1"/>
  <c r="G55" i="98"/>
  <c r="F55" i="98"/>
  <c r="E55" i="98"/>
  <c r="M54" i="98"/>
  <c r="P54" i="98" s="1"/>
  <c r="Q54" i="98" s="1"/>
  <c r="F54" i="98"/>
  <c r="E54" i="98"/>
  <c r="K53" i="98"/>
  <c r="M53" i="98" s="1"/>
  <c r="N53" i="98" s="1"/>
  <c r="F53" i="98"/>
  <c r="G53" i="98" s="1"/>
  <c r="E53" i="98"/>
  <c r="M52" i="98"/>
  <c r="N52" i="98" s="1"/>
  <c r="F52" i="98"/>
  <c r="E52" i="98"/>
  <c r="G52" i="98" s="1"/>
  <c r="M51" i="98"/>
  <c r="P51" i="98" s="1"/>
  <c r="Q51" i="98" s="1"/>
  <c r="F51" i="98"/>
  <c r="E51" i="98"/>
  <c r="G51" i="98" s="1"/>
  <c r="M50" i="98"/>
  <c r="P50" i="98" s="1"/>
  <c r="Q50" i="98" s="1"/>
  <c r="F50" i="98"/>
  <c r="E50" i="98"/>
  <c r="M49" i="98"/>
  <c r="P49" i="98" s="1"/>
  <c r="Q49" i="98" s="1"/>
  <c r="F49" i="98"/>
  <c r="E49" i="98"/>
  <c r="G49" i="98" s="1"/>
  <c r="M48" i="98"/>
  <c r="P48" i="98" s="1"/>
  <c r="Q48" i="98" s="1"/>
  <c r="F48" i="98"/>
  <c r="E48" i="98"/>
  <c r="G48" i="98" s="1"/>
  <c r="M47" i="98"/>
  <c r="P47" i="98" s="1"/>
  <c r="Q47" i="98" s="1"/>
  <c r="F47" i="98"/>
  <c r="G47" i="98" s="1"/>
  <c r="E47" i="98"/>
  <c r="M46" i="98"/>
  <c r="N46" i="98" s="1"/>
  <c r="G46" i="98"/>
  <c r="F46" i="98"/>
  <c r="E46" i="98"/>
  <c r="M45" i="98"/>
  <c r="P45" i="98" s="1"/>
  <c r="Q45" i="98" s="1"/>
  <c r="F45" i="98"/>
  <c r="E45" i="98"/>
  <c r="G45" i="98" s="1"/>
  <c r="M44" i="98"/>
  <c r="N44" i="98" s="1"/>
  <c r="F44" i="98"/>
  <c r="E44" i="98"/>
  <c r="G44" i="98" s="1"/>
  <c r="M43" i="98"/>
  <c r="P43" i="98" s="1"/>
  <c r="Q43" i="98" s="1"/>
  <c r="F43" i="98"/>
  <c r="E43" i="98"/>
  <c r="G43" i="98" s="1"/>
  <c r="M42" i="98"/>
  <c r="N42" i="98" s="1"/>
  <c r="F42" i="98"/>
  <c r="E42" i="98"/>
  <c r="G42" i="98" s="1"/>
  <c r="M41" i="98"/>
  <c r="P41" i="98" s="1"/>
  <c r="Q41" i="98" s="1"/>
  <c r="F41" i="98"/>
  <c r="E41" i="98"/>
  <c r="M40" i="98"/>
  <c r="P40" i="98" s="1"/>
  <c r="Q40" i="98" s="1"/>
  <c r="F40" i="98"/>
  <c r="E40" i="98"/>
  <c r="M39" i="98"/>
  <c r="P39" i="98" s="1"/>
  <c r="Q39" i="98" s="1"/>
  <c r="G39" i="98"/>
  <c r="F39" i="98"/>
  <c r="E39" i="98"/>
  <c r="M38" i="98"/>
  <c r="N38" i="98" s="1"/>
  <c r="F38" i="98"/>
  <c r="G38" i="98" s="1"/>
  <c r="E38" i="98"/>
  <c r="M37" i="98"/>
  <c r="P37" i="98" s="1"/>
  <c r="Q37" i="98" s="1"/>
  <c r="F37" i="98"/>
  <c r="E37" i="98"/>
  <c r="M36" i="98"/>
  <c r="N36" i="98" s="1"/>
  <c r="F36" i="98"/>
  <c r="E36" i="98"/>
  <c r="G36" i="98" s="1"/>
  <c r="M35" i="98"/>
  <c r="P35" i="98" s="1"/>
  <c r="Q35" i="98" s="1"/>
  <c r="F35" i="98"/>
  <c r="E35" i="98"/>
  <c r="G35" i="98" s="1"/>
  <c r="M34" i="98"/>
  <c r="F34" i="98"/>
  <c r="E34" i="98"/>
  <c r="G34" i="98" s="1"/>
  <c r="M33" i="98"/>
  <c r="N33" i="98" s="1"/>
  <c r="F33" i="98"/>
  <c r="E33" i="98"/>
  <c r="M32" i="98"/>
  <c r="P32" i="98" s="1"/>
  <c r="Q32" i="98" s="1"/>
  <c r="F32" i="98"/>
  <c r="E32" i="98"/>
  <c r="G32" i="98" s="1"/>
  <c r="M31" i="98"/>
  <c r="P31" i="98" s="1"/>
  <c r="Q31" i="98" s="1"/>
  <c r="F31" i="98"/>
  <c r="E31" i="98"/>
  <c r="G31" i="98" s="1"/>
  <c r="M30" i="98"/>
  <c r="P30" i="98" s="1"/>
  <c r="Q30" i="98" s="1"/>
  <c r="F30" i="98"/>
  <c r="G30" i="98" s="1"/>
  <c r="E30" i="98"/>
  <c r="M29" i="98"/>
  <c r="N29" i="98" s="1"/>
  <c r="G29" i="98"/>
  <c r="F29" i="98"/>
  <c r="E29" i="98"/>
  <c r="M28" i="98"/>
  <c r="F28" i="98"/>
  <c r="G28" i="98" s="1"/>
  <c r="E28" i="98"/>
  <c r="M27" i="98"/>
  <c r="P27" i="98" s="1"/>
  <c r="Q27" i="98" s="1"/>
  <c r="F27" i="98"/>
  <c r="E27" i="98"/>
  <c r="F26" i="98"/>
  <c r="E26" i="98"/>
  <c r="M25" i="98"/>
  <c r="P25" i="98" s="1"/>
  <c r="Q25" i="98" s="1"/>
  <c r="F25" i="98"/>
  <c r="E25" i="98"/>
  <c r="G25" i="98" s="1"/>
  <c r="F24" i="98"/>
  <c r="G24" i="98" s="1"/>
  <c r="E24" i="98"/>
  <c r="M23" i="98"/>
  <c r="P23" i="98" s="1"/>
  <c r="Q23" i="98" s="1"/>
  <c r="F23" i="98"/>
  <c r="E23" i="98"/>
  <c r="M22" i="98"/>
  <c r="P22" i="98" s="1"/>
  <c r="Q22" i="98" s="1"/>
  <c r="F22" i="98"/>
  <c r="E22" i="98"/>
  <c r="M21" i="98"/>
  <c r="P21" i="98" s="1"/>
  <c r="Q21" i="98" s="1"/>
  <c r="F21" i="98"/>
  <c r="E21" i="98"/>
  <c r="M20" i="98"/>
  <c r="P20" i="98" s="1"/>
  <c r="Q20" i="98" s="1"/>
  <c r="G20" i="98"/>
  <c r="F20" i="98"/>
  <c r="E20" i="98"/>
  <c r="M19" i="98"/>
  <c r="N19" i="98" s="1"/>
  <c r="F19" i="98"/>
  <c r="G19" i="98" s="1"/>
  <c r="E19" i="98"/>
  <c r="K18" i="98"/>
  <c r="G18" i="98"/>
  <c r="F18" i="98"/>
  <c r="E18" i="98"/>
  <c r="F17" i="98"/>
  <c r="E17" i="98"/>
  <c r="G17" i="98" s="1"/>
  <c r="M16" i="98"/>
  <c r="N16" i="98" s="1"/>
  <c r="F16" i="98"/>
  <c r="E16" i="98"/>
  <c r="G16" i="98" s="1"/>
  <c r="M15" i="98"/>
  <c r="P15" i="98" s="1"/>
  <c r="Q15" i="98" s="1"/>
  <c r="F15" i="98"/>
  <c r="E15" i="98"/>
  <c r="G15" i="98" s="1"/>
  <c r="M14" i="98"/>
  <c r="P14" i="98" s="1"/>
  <c r="Q14" i="98" s="1"/>
  <c r="F14" i="98"/>
  <c r="E14" i="98"/>
  <c r="G14" i="98" s="1"/>
  <c r="F13" i="98"/>
  <c r="E13" i="98"/>
  <c r="G13" i="98" s="1"/>
  <c r="M12" i="98"/>
  <c r="P12" i="98" s="1"/>
  <c r="Q12" i="98" s="1"/>
  <c r="F12" i="98"/>
  <c r="E12" i="98"/>
  <c r="M11" i="98"/>
  <c r="P11" i="98" s="1"/>
  <c r="Q11" i="98" s="1"/>
  <c r="G11" i="98"/>
  <c r="F11" i="98"/>
  <c r="E11" i="98"/>
  <c r="M10" i="98"/>
  <c r="N10" i="98" s="1"/>
  <c r="G10" i="98"/>
  <c r="F10" i="98"/>
  <c r="E10" i="98"/>
  <c r="M9" i="98"/>
  <c r="P9" i="98" s="1"/>
  <c r="Q9" i="98" s="1"/>
  <c r="F9" i="98"/>
  <c r="E9" i="98"/>
  <c r="G9" i="98" s="1"/>
  <c r="M8" i="98"/>
  <c r="N8" i="98" s="1"/>
  <c r="F8" i="98"/>
  <c r="E8" i="98"/>
  <c r="M7" i="98"/>
  <c r="P7" i="98" s="1"/>
  <c r="Q7" i="98" s="1"/>
  <c r="G7" i="98"/>
  <c r="F7" i="98"/>
  <c r="E7" i="98"/>
  <c r="M6" i="98"/>
  <c r="P6" i="98" s="1"/>
  <c r="Q6" i="98" s="1"/>
  <c r="F6" i="98"/>
  <c r="E6" i="98"/>
  <c r="G6" i="98" s="1"/>
  <c r="M5" i="98"/>
  <c r="P5" i="98" s="1"/>
  <c r="Q5" i="98" s="1"/>
  <c r="F5" i="98"/>
  <c r="E5" i="98"/>
  <c r="P4" i="98"/>
  <c r="Q4" i="98" s="1"/>
  <c r="N4" i="98"/>
  <c r="H28" i="96"/>
  <c r="K34" i="96"/>
  <c r="R64" i="100" l="1"/>
  <c r="Q64" i="99"/>
  <c r="N64" i="99"/>
  <c r="P64" i="99"/>
  <c r="P58" i="98"/>
  <c r="Q58" i="98" s="1"/>
  <c r="P33" i="98"/>
  <c r="Q33" i="98" s="1"/>
  <c r="N22" i="98"/>
  <c r="P42" i="98"/>
  <c r="Q42" i="98" s="1"/>
  <c r="K64" i="98"/>
  <c r="N9" i="98"/>
  <c r="E64" i="98"/>
  <c r="G8" i="98"/>
  <c r="G12" i="98"/>
  <c r="G21" i="98"/>
  <c r="G23" i="98"/>
  <c r="G27" i="98"/>
  <c r="G40" i="98"/>
  <c r="P55" i="98"/>
  <c r="Q55" i="98" s="1"/>
  <c r="N57" i="98"/>
  <c r="G54" i="98"/>
  <c r="G22" i="98"/>
  <c r="N23" i="98"/>
  <c r="G41" i="98"/>
  <c r="G50" i="98"/>
  <c r="N49" i="98"/>
  <c r="P10" i="98"/>
  <c r="Q10" i="98" s="1"/>
  <c r="N12" i="98"/>
  <c r="G26" i="98"/>
  <c r="G33" i="98"/>
  <c r="G37" i="98"/>
  <c r="G57" i="98"/>
  <c r="G59" i="98"/>
  <c r="F64" i="98"/>
  <c r="N13" i="98"/>
  <c r="N41" i="98"/>
  <c r="N50" i="98"/>
  <c r="P46" i="98"/>
  <c r="Q46" i="98" s="1"/>
  <c r="N17" i="98"/>
  <c r="N32" i="98"/>
  <c r="N54" i="98"/>
  <c r="N6" i="98"/>
  <c r="P19" i="98"/>
  <c r="Q19" i="98" s="1"/>
  <c r="N21" i="98"/>
  <c r="N45" i="98"/>
  <c r="N37" i="98"/>
  <c r="N48" i="98"/>
  <c r="N5" i="98"/>
  <c r="N14" i="98"/>
  <c r="N27" i="98"/>
  <c r="P38" i="98"/>
  <c r="Q38" i="98" s="1"/>
  <c r="N40" i="98"/>
  <c r="P61" i="98"/>
  <c r="Q61" i="98" s="1"/>
  <c r="N60" i="98"/>
  <c r="P29" i="98"/>
  <c r="Q29" i="98" s="1"/>
  <c r="N31" i="98"/>
  <c r="P28" i="98"/>
  <c r="Q28" i="98" s="1"/>
  <c r="N28" i="98"/>
  <c r="P24" i="98"/>
  <c r="Q24" i="98" s="1"/>
  <c r="N24" i="98"/>
  <c r="P34" i="98"/>
  <c r="Q34" i="98" s="1"/>
  <c r="N34" i="98"/>
  <c r="G5" i="98"/>
  <c r="N7" i="98"/>
  <c r="P8" i="98"/>
  <c r="Q8" i="98" s="1"/>
  <c r="N15" i="98"/>
  <c r="P16" i="98"/>
  <c r="Q16" i="98" s="1"/>
  <c r="N25" i="98"/>
  <c r="P26" i="98"/>
  <c r="Q26" i="98" s="1"/>
  <c r="N35" i="98"/>
  <c r="P36" i="98"/>
  <c r="Q36" i="98" s="1"/>
  <c r="N43" i="98"/>
  <c r="P44" i="98"/>
  <c r="Q44" i="98" s="1"/>
  <c r="N51" i="98"/>
  <c r="P52" i="98"/>
  <c r="Q52" i="98" s="1"/>
  <c r="P53" i="98"/>
  <c r="Q53" i="98" s="1"/>
  <c r="P59" i="98"/>
  <c r="Q59" i="98" s="1"/>
  <c r="N11" i="98"/>
  <c r="N20" i="98"/>
  <c r="N30" i="98"/>
  <c r="N39" i="98"/>
  <c r="N47" i="98"/>
  <c r="N56" i="98"/>
  <c r="N62" i="98"/>
  <c r="H64" i="98"/>
  <c r="M18" i="98"/>
  <c r="M64" i="98" s="1"/>
  <c r="F63" i="95"/>
  <c r="F62" i="95"/>
  <c r="F61" i="95"/>
  <c r="F60" i="95"/>
  <c r="F59" i="95"/>
  <c r="F58" i="95"/>
  <c r="F57" i="95"/>
  <c r="F56" i="95"/>
  <c r="F55" i="95"/>
  <c r="F54" i="95"/>
  <c r="F53" i="95"/>
  <c r="F52" i="95"/>
  <c r="F51" i="95"/>
  <c r="F50" i="95"/>
  <c r="F49" i="95"/>
  <c r="F48" i="95"/>
  <c r="F47" i="95"/>
  <c r="F46" i="95"/>
  <c r="F45" i="95"/>
  <c r="F44" i="95"/>
  <c r="F43" i="95"/>
  <c r="F42" i="95"/>
  <c r="F41" i="95"/>
  <c r="F40" i="95"/>
  <c r="F39" i="95"/>
  <c r="F38" i="95"/>
  <c r="F37" i="95"/>
  <c r="F36" i="95"/>
  <c r="F35" i="95"/>
  <c r="F34" i="95"/>
  <c r="F33" i="95"/>
  <c r="F32" i="95"/>
  <c r="F31" i="95"/>
  <c r="F30" i="95"/>
  <c r="F29" i="95"/>
  <c r="F28" i="95"/>
  <c r="F27" i="95"/>
  <c r="F26" i="95"/>
  <c r="F25" i="95"/>
  <c r="F24" i="95"/>
  <c r="F23" i="95"/>
  <c r="F22" i="95"/>
  <c r="F21" i="95"/>
  <c r="F20" i="95"/>
  <c r="F19" i="95"/>
  <c r="F18" i="95"/>
  <c r="F17" i="95"/>
  <c r="F16" i="95"/>
  <c r="F15" i="95"/>
  <c r="F14" i="95"/>
  <c r="F13" i="95"/>
  <c r="F12" i="95"/>
  <c r="F11" i="95"/>
  <c r="F10" i="95"/>
  <c r="F9" i="95"/>
  <c r="F8" i="95"/>
  <c r="F7" i="95"/>
  <c r="F6" i="95"/>
  <c r="F5" i="95"/>
  <c r="R64" i="99" l="1"/>
  <c r="G64" i="98"/>
  <c r="P18" i="98"/>
  <c r="Q18" i="98" s="1"/>
  <c r="Q64" i="98" s="1"/>
  <c r="N18" i="98"/>
  <c r="N64" i="98" s="1"/>
  <c r="M13" i="96"/>
  <c r="P13" i="96" s="1"/>
  <c r="Q13" i="96" s="1"/>
  <c r="M63" i="96"/>
  <c r="N63" i="96" s="1"/>
  <c r="F63" i="96"/>
  <c r="E63" i="96"/>
  <c r="M62" i="96"/>
  <c r="P62" i="96" s="1"/>
  <c r="Q62" i="96" s="1"/>
  <c r="F62" i="96"/>
  <c r="E62" i="96"/>
  <c r="M37" i="96"/>
  <c r="P37" i="96" s="1"/>
  <c r="Q37" i="96" s="1"/>
  <c r="M36" i="96"/>
  <c r="P36" i="96" s="1"/>
  <c r="Q36" i="96" s="1"/>
  <c r="K24" i="96"/>
  <c r="L65" i="96"/>
  <c r="J65" i="96"/>
  <c r="J66" i="96" s="1"/>
  <c r="I65" i="96"/>
  <c r="I66" i="96" s="1"/>
  <c r="D65" i="96"/>
  <c r="C65" i="96"/>
  <c r="M61" i="96"/>
  <c r="N61" i="96" s="1"/>
  <c r="F61" i="96"/>
  <c r="E61" i="96"/>
  <c r="M60" i="96"/>
  <c r="N60" i="96" s="1"/>
  <c r="F60" i="96"/>
  <c r="E60" i="96"/>
  <c r="P59" i="96"/>
  <c r="Q59" i="96" s="1"/>
  <c r="H65" i="96"/>
  <c r="F59" i="96"/>
  <c r="E59" i="96"/>
  <c r="M58" i="96"/>
  <c r="P58" i="96" s="1"/>
  <c r="Q58" i="96" s="1"/>
  <c r="F58" i="96"/>
  <c r="E58" i="96"/>
  <c r="M57" i="96"/>
  <c r="P57" i="96" s="1"/>
  <c r="Q57" i="96" s="1"/>
  <c r="F57" i="96"/>
  <c r="E57" i="96"/>
  <c r="M56" i="96"/>
  <c r="N56" i="96" s="1"/>
  <c r="F56" i="96"/>
  <c r="E56" i="96"/>
  <c r="M55" i="96"/>
  <c r="N55" i="96" s="1"/>
  <c r="F55" i="96"/>
  <c r="E55" i="96"/>
  <c r="M54" i="96"/>
  <c r="N54" i="96" s="1"/>
  <c r="F54" i="96"/>
  <c r="E54" i="96"/>
  <c r="K53" i="96"/>
  <c r="M53" i="96" s="1"/>
  <c r="P53" i="96" s="1"/>
  <c r="Q53" i="96" s="1"/>
  <c r="F53" i="96"/>
  <c r="E53" i="96"/>
  <c r="G53" i="96" s="1"/>
  <c r="M52" i="96"/>
  <c r="N52" i="96" s="1"/>
  <c r="F52" i="96"/>
  <c r="E52" i="96"/>
  <c r="M51" i="96"/>
  <c r="P51" i="96" s="1"/>
  <c r="Q51" i="96" s="1"/>
  <c r="F51" i="96"/>
  <c r="E51" i="96"/>
  <c r="M50" i="96"/>
  <c r="P50" i="96" s="1"/>
  <c r="Q50" i="96" s="1"/>
  <c r="F50" i="96"/>
  <c r="E50" i="96"/>
  <c r="M49" i="96"/>
  <c r="N49" i="96" s="1"/>
  <c r="F49" i="96"/>
  <c r="E49" i="96"/>
  <c r="M48" i="96"/>
  <c r="N48" i="96" s="1"/>
  <c r="F48" i="96"/>
  <c r="E48" i="96"/>
  <c r="G48" i="96" s="1"/>
  <c r="M47" i="96"/>
  <c r="N47" i="96" s="1"/>
  <c r="F47" i="96"/>
  <c r="E47" i="96"/>
  <c r="M46" i="96"/>
  <c r="N46" i="96" s="1"/>
  <c r="F46" i="96"/>
  <c r="E46" i="96"/>
  <c r="M45" i="96"/>
  <c r="N45" i="96" s="1"/>
  <c r="F45" i="96"/>
  <c r="E45" i="96"/>
  <c r="M44" i="96"/>
  <c r="N44" i="96" s="1"/>
  <c r="F44" i="96"/>
  <c r="E44" i="96"/>
  <c r="M43" i="96"/>
  <c r="P43" i="96" s="1"/>
  <c r="Q43" i="96" s="1"/>
  <c r="F43" i="96"/>
  <c r="E43" i="96"/>
  <c r="M42" i="96"/>
  <c r="P42" i="96" s="1"/>
  <c r="Q42" i="96" s="1"/>
  <c r="F42" i="96"/>
  <c r="E42" i="96"/>
  <c r="M41" i="96"/>
  <c r="N41" i="96" s="1"/>
  <c r="F41" i="96"/>
  <c r="E41" i="96"/>
  <c r="M40" i="96"/>
  <c r="N40" i="96" s="1"/>
  <c r="F40" i="96"/>
  <c r="E40" i="96"/>
  <c r="M39" i="96"/>
  <c r="N39" i="96" s="1"/>
  <c r="F39" i="96"/>
  <c r="E39" i="96"/>
  <c r="M38" i="96"/>
  <c r="N38" i="96" s="1"/>
  <c r="F38" i="96"/>
  <c r="E38" i="96"/>
  <c r="F37" i="96"/>
  <c r="E37" i="96"/>
  <c r="G37" i="96" s="1"/>
  <c r="F36" i="96"/>
  <c r="E36" i="96"/>
  <c r="M35" i="96"/>
  <c r="P35" i="96" s="1"/>
  <c r="Q35" i="96" s="1"/>
  <c r="F35" i="96"/>
  <c r="E35" i="96"/>
  <c r="M34" i="96"/>
  <c r="F34" i="96"/>
  <c r="E34" i="96"/>
  <c r="M33" i="96"/>
  <c r="P33" i="96" s="1"/>
  <c r="Q33" i="96" s="1"/>
  <c r="F33" i="96"/>
  <c r="E33" i="96"/>
  <c r="M32" i="96"/>
  <c r="N32" i="96" s="1"/>
  <c r="F32" i="96"/>
  <c r="E32" i="96"/>
  <c r="M31" i="96"/>
  <c r="N31" i="96" s="1"/>
  <c r="F31" i="96"/>
  <c r="E31" i="96"/>
  <c r="M30" i="96"/>
  <c r="P30" i="96" s="1"/>
  <c r="Q30" i="96" s="1"/>
  <c r="F30" i="96"/>
  <c r="E30" i="96"/>
  <c r="M29" i="96"/>
  <c r="N29" i="96" s="1"/>
  <c r="F29" i="96"/>
  <c r="E29" i="96"/>
  <c r="M28" i="96"/>
  <c r="P28" i="96" s="1"/>
  <c r="Q28" i="96" s="1"/>
  <c r="F28" i="96"/>
  <c r="E28" i="96"/>
  <c r="M27" i="96"/>
  <c r="N27" i="96" s="1"/>
  <c r="F27" i="96"/>
  <c r="E27" i="96"/>
  <c r="M26" i="96"/>
  <c r="N26" i="96" s="1"/>
  <c r="F26" i="96"/>
  <c r="E26" i="96"/>
  <c r="M25" i="96"/>
  <c r="P25" i="96" s="1"/>
  <c r="Q25" i="96" s="1"/>
  <c r="F25" i="96"/>
  <c r="E25" i="96"/>
  <c r="M24" i="96"/>
  <c r="N24" i="96" s="1"/>
  <c r="F24" i="96"/>
  <c r="E24" i="96"/>
  <c r="M23" i="96"/>
  <c r="P23" i="96" s="1"/>
  <c r="Q23" i="96" s="1"/>
  <c r="F23" i="96"/>
  <c r="E23" i="96"/>
  <c r="M22" i="96"/>
  <c r="N22" i="96" s="1"/>
  <c r="F22" i="96"/>
  <c r="E22" i="96"/>
  <c r="M21" i="96"/>
  <c r="N21" i="96" s="1"/>
  <c r="F21" i="96"/>
  <c r="E21" i="96"/>
  <c r="M20" i="96"/>
  <c r="P20" i="96" s="1"/>
  <c r="Q20" i="96" s="1"/>
  <c r="F20" i="96"/>
  <c r="E20" i="96"/>
  <c r="M19" i="96"/>
  <c r="N19" i="96" s="1"/>
  <c r="F19" i="96"/>
  <c r="E19" i="96"/>
  <c r="K18" i="96"/>
  <c r="M18" i="96" s="1"/>
  <c r="F18" i="96"/>
  <c r="E18" i="96"/>
  <c r="M17" i="96"/>
  <c r="P17" i="96" s="1"/>
  <c r="Q17" i="96" s="1"/>
  <c r="F17" i="96"/>
  <c r="E17" i="96"/>
  <c r="M16" i="96"/>
  <c r="P16" i="96" s="1"/>
  <c r="Q16" i="96" s="1"/>
  <c r="F16" i="96"/>
  <c r="E16" i="96"/>
  <c r="M15" i="96"/>
  <c r="N15" i="96" s="1"/>
  <c r="F15" i="96"/>
  <c r="E15" i="96"/>
  <c r="M14" i="96"/>
  <c r="F14" i="96"/>
  <c r="E14" i="96"/>
  <c r="F13" i="96"/>
  <c r="E13" i="96"/>
  <c r="G13" i="96" s="1"/>
  <c r="M12" i="96"/>
  <c r="N12" i="96" s="1"/>
  <c r="F12" i="96"/>
  <c r="E12" i="96"/>
  <c r="M11" i="96"/>
  <c r="N11" i="96" s="1"/>
  <c r="F11" i="96"/>
  <c r="E11" i="96"/>
  <c r="G11" i="96" s="1"/>
  <c r="M10" i="96"/>
  <c r="P10" i="96" s="1"/>
  <c r="Q10" i="96" s="1"/>
  <c r="F10" i="96"/>
  <c r="E10" i="96"/>
  <c r="M9" i="96"/>
  <c r="N9" i="96" s="1"/>
  <c r="F9" i="96"/>
  <c r="E9" i="96"/>
  <c r="M8" i="96"/>
  <c r="N8" i="96" s="1"/>
  <c r="F8" i="96"/>
  <c r="E8" i="96"/>
  <c r="M7" i="96"/>
  <c r="P7" i="96" s="1"/>
  <c r="Q7" i="96" s="1"/>
  <c r="F7" i="96"/>
  <c r="E7" i="96"/>
  <c r="M6" i="96"/>
  <c r="N6" i="96" s="1"/>
  <c r="F6" i="96"/>
  <c r="E6" i="96"/>
  <c r="M5" i="96"/>
  <c r="F5" i="96"/>
  <c r="E5" i="96"/>
  <c r="P4" i="96"/>
  <c r="Q4" i="96" s="1"/>
  <c r="N4" i="96"/>
  <c r="G63" i="95"/>
  <c r="M36" i="95"/>
  <c r="E54" i="95"/>
  <c r="G54" i="95" s="1"/>
  <c r="N54" i="95"/>
  <c r="R64" i="98" l="1"/>
  <c r="P64" i="98"/>
  <c r="G62" i="96"/>
  <c r="G45" i="96"/>
  <c r="G17" i="96"/>
  <c r="G21" i="96"/>
  <c r="G43" i="96"/>
  <c r="G60" i="96"/>
  <c r="G34" i="96"/>
  <c r="G44" i="96"/>
  <c r="G15" i="96"/>
  <c r="G28" i="96"/>
  <c r="G31" i="96"/>
  <c r="G35" i="96"/>
  <c r="G41" i="96"/>
  <c r="G51" i="96"/>
  <c r="G63" i="96"/>
  <c r="E65" i="96"/>
  <c r="P63" i="96"/>
  <c r="Q63" i="96" s="1"/>
  <c r="N62" i="96"/>
  <c r="G8" i="96"/>
  <c r="G50" i="96"/>
  <c r="G58" i="96"/>
  <c r="G19" i="96"/>
  <c r="G22" i="96"/>
  <c r="G38" i="96"/>
  <c r="G61" i="96"/>
  <c r="G20" i="96"/>
  <c r="G46" i="96"/>
  <c r="G49" i="96"/>
  <c r="G54" i="96"/>
  <c r="G26" i="96"/>
  <c r="G57" i="96"/>
  <c r="P31" i="96"/>
  <c r="Q31" i="96" s="1"/>
  <c r="P48" i="96"/>
  <c r="Q48" i="96" s="1"/>
  <c r="P40" i="96"/>
  <c r="Q40" i="96" s="1"/>
  <c r="G36" i="96"/>
  <c r="G6" i="96"/>
  <c r="G29" i="96"/>
  <c r="G39" i="96"/>
  <c r="G56" i="96"/>
  <c r="G59" i="96"/>
  <c r="G40" i="96"/>
  <c r="F65" i="96"/>
  <c r="G10" i="96"/>
  <c r="G23" i="96"/>
  <c r="P38" i="96"/>
  <c r="Q38" i="96" s="1"/>
  <c r="N37" i="96"/>
  <c r="P45" i="96"/>
  <c r="Q45" i="96" s="1"/>
  <c r="P47" i="96"/>
  <c r="Q47" i="96" s="1"/>
  <c r="G16" i="96"/>
  <c r="G18" i="96"/>
  <c r="P22" i="96"/>
  <c r="Q22" i="96" s="1"/>
  <c r="G25" i="96"/>
  <c r="G27" i="96"/>
  <c r="G52" i="96"/>
  <c r="P56" i="96"/>
  <c r="Q56" i="96" s="1"/>
  <c r="P60" i="96"/>
  <c r="Q60" i="96" s="1"/>
  <c r="G33" i="96"/>
  <c r="P24" i="96"/>
  <c r="Q24" i="96" s="1"/>
  <c r="G7" i="96"/>
  <c r="G9" i="96"/>
  <c r="G14" i="96"/>
  <c r="G32" i="96"/>
  <c r="G42" i="96"/>
  <c r="G55" i="96"/>
  <c r="G30" i="96"/>
  <c r="G12" i="96"/>
  <c r="G24" i="96"/>
  <c r="G47" i="96"/>
  <c r="N28" i="96"/>
  <c r="P15" i="96"/>
  <c r="Q15" i="96" s="1"/>
  <c r="P21" i="96"/>
  <c r="Q21" i="96" s="1"/>
  <c r="N30" i="96"/>
  <c r="N10" i="96"/>
  <c r="P55" i="96"/>
  <c r="Q55" i="96" s="1"/>
  <c r="N23" i="96"/>
  <c r="P39" i="96"/>
  <c r="Q39" i="96" s="1"/>
  <c r="P12" i="96"/>
  <c r="Q12" i="96" s="1"/>
  <c r="N20" i="96"/>
  <c r="P32" i="96"/>
  <c r="Q32" i="96" s="1"/>
  <c r="P54" i="96"/>
  <c r="Q54" i="96" s="1"/>
  <c r="P6" i="96"/>
  <c r="Q6" i="96" s="1"/>
  <c r="P46" i="96"/>
  <c r="Q46" i="96" s="1"/>
  <c r="P29" i="96"/>
  <c r="Q29" i="96" s="1"/>
  <c r="P41" i="96"/>
  <c r="Q41" i="96" s="1"/>
  <c r="P61" i="96"/>
  <c r="Q61" i="96" s="1"/>
  <c r="P49" i="96"/>
  <c r="Q49" i="96" s="1"/>
  <c r="N13" i="96"/>
  <c r="M65" i="96"/>
  <c r="P11" i="96"/>
  <c r="Q11" i="96" s="1"/>
  <c r="N5" i="96"/>
  <c r="P5" i="96"/>
  <c r="Q5" i="96" s="1"/>
  <c r="N18" i="96"/>
  <c r="P18" i="96"/>
  <c r="Q18" i="96" s="1"/>
  <c r="P34" i="96"/>
  <c r="Q34" i="96" s="1"/>
  <c r="N34" i="96"/>
  <c r="P14" i="96"/>
  <c r="Q14" i="96" s="1"/>
  <c r="N14" i="96"/>
  <c r="N36" i="96"/>
  <c r="N53" i="96"/>
  <c r="K65" i="96"/>
  <c r="P9" i="96"/>
  <c r="Q9" i="96" s="1"/>
  <c r="N17" i="96"/>
  <c r="P19" i="96"/>
  <c r="Q19" i="96" s="1"/>
  <c r="P27" i="96"/>
  <c r="Q27" i="96" s="1"/>
  <c r="N35" i="96"/>
  <c r="N43" i="96"/>
  <c r="P44" i="96"/>
  <c r="Q44" i="96" s="1"/>
  <c r="N51" i="96"/>
  <c r="P52" i="96"/>
  <c r="Q52" i="96" s="1"/>
  <c r="N58" i="96"/>
  <c r="G5" i="96"/>
  <c r="N7" i="96"/>
  <c r="P8" i="96"/>
  <c r="Q8" i="96" s="1"/>
  <c r="N16" i="96"/>
  <c r="N25" i="96"/>
  <c r="P26" i="96"/>
  <c r="Q26" i="96" s="1"/>
  <c r="N33" i="96"/>
  <c r="N42" i="96"/>
  <c r="N50" i="96"/>
  <c r="N57" i="96"/>
  <c r="N59" i="96"/>
  <c r="P54" i="95"/>
  <c r="Q54" i="95" s="1"/>
  <c r="G65" i="96" l="1"/>
  <c r="N65" i="96"/>
  <c r="Q65" i="96"/>
  <c r="P65" i="96"/>
  <c r="K53" i="95"/>
  <c r="M53" i="95" s="1"/>
  <c r="K34" i="95"/>
  <c r="M34" i="95" s="1"/>
  <c r="M58" i="95"/>
  <c r="P58" i="95" s="1"/>
  <c r="Q58" i="95" s="1"/>
  <c r="P36" i="95"/>
  <c r="Q36" i="95" s="1"/>
  <c r="K14" i="95"/>
  <c r="M14" i="95"/>
  <c r="N14" i="95" s="1"/>
  <c r="J65" i="95"/>
  <c r="J66" i="95" s="1"/>
  <c r="I65" i="95"/>
  <c r="I66" i="95" s="1"/>
  <c r="D65" i="95"/>
  <c r="C65" i="95"/>
  <c r="M63" i="95"/>
  <c r="P63" i="95" s="1"/>
  <c r="Q63" i="95" s="1"/>
  <c r="E63" i="95"/>
  <c r="M62" i="95"/>
  <c r="P62" i="95" s="1"/>
  <c r="Q62" i="95" s="1"/>
  <c r="E62" i="95"/>
  <c r="M61" i="95"/>
  <c r="P61" i="95" s="1"/>
  <c r="Q61" i="95" s="1"/>
  <c r="E61" i="95"/>
  <c r="G61" i="95" s="1"/>
  <c r="P60" i="95"/>
  <c r="Q60" i="95" s="1"/>
  <c r="H60" i="95"/>
  <c r="H65" i="95" s="1"/>
  <c r="E60" i="95"/>
  <c r="M59" i="95"/>
  <c r="N59" i="95" s="1"/>
  <c r="E59" i="95"/>
  <c r="G59" i="95" s="1"/>
  <c r="E58" i="95"/>
  <c r="G58" i="95" s="1"/>
  <c r="M57" i="95"/>
  <c r="P57" i="95" s="1"/>
  <c r="Q57" i="95" s="1"/>
  <c r="E57" i="95"/>
  <c r="M56" i="95"/>
  <c r="P56" i="95" s="1"/>
  <c r="Q56" i="95" s="1"/>
  <c r="E56" i="95"/>
  <c r="G56" i="95" s="1"/>
  <c r="M55" i="95"/>
  <c r="P55" i="95" s="1"/>
  <c r="Q55" i="95" s="1"/>
  <c r="E55" i="95"/>
  <c r="G55" i="95" s="1"/>
  <c r="E53" i="95"/>
  <c r="M52" i="95"/>
  <c r="P52" i="95" s="1"/>
  <c r="Q52" i="95" s="1"/>
  <c r="E52" i="95"/>
  <c r="G52" i="95" s="1"/>
  <c r="M51" i="95"/>
  <c r="P51" i="95" s="1"/>
  <c r="Q51" i="95" s="1"/>
  <c r="E51" i="95"/>
  <c r="M50" i="95"/>
  <c r="N50" i="95" s="1"/>
  <c r="E50" i="95"/>
  <c r="G50" i="95" s="1"/>
  <c r="M49" i="95"/>
  <c r="P49" i="95" s="1"/>
  <c r="Q49" i="95" s="1"/>
  <c r="E49" i="95"/>
  <c r="M48" i="95"/>
  <c r="P48" i="95" s="1"/>
  <c r="Q48" i="95" s="1"/>
  <c r="L65" i="95"/>
  <c r="E48" i="95"/>
  <c r="M47" i="95"/>
  <c r="P47" i="95" s="1"/>
  <c r="Q47" i="95" s="1"/>
  <c r="E47" i="95"/>
  <c r="M46" i="95"/>
  <c r="P46" i="95" s="1"/>
  <c r="Q46" i="95" s="1"/>
  <c r="E46" i="95"/>
  <c r="G46" i="95" s="1"/>
  <c r="M45" i="95"/>
  <c r="N45" i="95" s="1"/>
  <c r="E45" i="95"/>
  <c r="G45" i="95" s="1"/>
  <c r="M44" i="95"/>
  <c r="P44" i="95" s="1"/>
  <c r="Q44" i="95" s="1"/>
  <c r="E44" i="95"/>
  <c r="M43" i="95"/>
  <c r="P43" i="95" s="1"/>
  <c r="Q43" i="95" s="1"/>
  <c r="E43" i="95"/>
  <c r="G43" i="95" s="1"/>
  <c r="M42" i="95"/>
  <c r="P42" i="95" s="1"/>
  <c r="Q42" i="95" s="1"/>
  <c r="E42" i="95"/>
  <c r="M41" i="95"/>
  <c r="N41" i="95" s="1"/>
  <c r="E41" i="95"/>
  <c r="M40" i="95"/>
  <c r="P40" i="95" s="1"/>
  <c r="Q40" i="95" s="1"/>
  <c r="E40" i="95"/>
  <c r="M39" i="95"/>
  <c r="P39" i="95" s="1"/>
  <c r="Q39" i="95" s="1"/>
  <c r="E39" i="95"/>
  <c r="M38" i="95"/>
  <c r="P38" i="95" s="1"/>
  <c r="Q38" i="95" s="1"/>
  <c r="E38" i="95"/>
  <c r="G38" i="95" s="1"/>
  <c r="M37" i="95"/>
  <c r="N37" i="95" s="1"/>
  <c r="E37" i="95"/>
  <c r="G37" i="95" s="1"/>
  <c r="E36" i="95"/>
  <c r="M35" i="95"/>
  <c r="P35" i="95" s="1"/>
  <c r="Q35" i="95" s="1"/>
  <c r="E35" i="95"/>
  <c r="G35" i="95" s="1"/>
  <c r="E34" i="95"/>
  <c r="M33" i="95"/>
  <c r="P33" i="95" s="1"/>
  <c r="Q33" i="95" s="1"/>
  <c r="E33" i="95"/>
  <c r="M32" i="95"/>
  <c r="N32" i="95" s="1"/>
  <c r="E32" i="95"/>
  <c r="G32" i="95" s="1"/>
  <c r="M31" i="95"/>
  <c r="P31" i="95" s="1"/>
  <c r="Q31" i="95" s="1"/>
  <c r="E31" i="95"/>
  <c r="M30" i="95"/>
  <c r="P30" i="95" s="1"/>
  <c r="Q30" i="95" s="1"/>
  <c r="E30" i="95"/>
  <c r="M29" i="95"/>
  <c r="P29" i="95" s="1"/>
  <c r="Q29" i="95" s="1"/>
  <c r="G29" i="95"/>
  <c r="E29" i="95"/>
  <c r="M28" i="95"/>
  <c r="N28" i="95" s="1"/>
  <c r="E28" i="95"/>
  <c r="G28" i="95" s="1"/>
  <c r="M27" i="95"/>
  <c r="P27" i="95" s="1"/>
  <c r="Q27" i="95" s="1"/>
  <c r="E27" i="95"/>
  <c r="G27" i="95" s="1"/>
  <c r="M26" i="95"/>
  <c r="P26" i="95" s="1"/>
  <c r="Q26" i="95" s="1"/>
  <c r="E26" i="95"/>
  <c r="G26" i="95" s="1"/>
  <c r="M25" i="95"/>
  <c r="N25" i="95" s="1"/>
  <c r="E25" i="95"/>
  <c r="M24" i="95"/>
  <c r="N24" i="95" s="1"/>
  <c r="E24" i="95"/>
  <c r="M23" i="95"/>
  <c r="N23" i="95" s="1"/>
  <c r="E23" i="95"/>
  <c r="G23" i="95" s="1"/>
  <c r="M22" i="95"/>
  <c r="P22" i="95" s="1"/>
  <c r="Q22" i="95" s="1"/>
  <c r="E22" i="95"/>
  <c r="M21" i="95"/>
  <c r="P21" i="95" s="1"/>
  <c r="Q21" i="95" s="1"/>
  <c r="E21" i="95"/>
  <c r="M20" i="95"/>
  <c r="P20" i="95" s="1"/>
  <c r="Q20" i="95" s="1"/>
  <c r="E20" i="95"/>
  <c r="G20" i="95" s="1"/>
  <c r="M19" i="95"/>
  <c r="P19" i="95" s="1"/>
  <c r="Q19" i="95" s="1"/>
  <c r="E19" i="95"/>
  <c r="K18" i="95"/>
  <c r="E18" i="95"/>
  <c r="G18" i="95" s="1"/>
  <c r="M17" i="95"/>
  <c r="P17" i="95" s="1"/>
  <c r="Q17" i="95" s="1"/>
  <c r="E17" i="95"/>
  <c r="M16" i="95"/>
  <c r="P16" i="95" s="1"/>
  <c r="Q16" i="95" s="1"/>
  <c r="E16" i="95"/>
  <c r="M15" i="95"/>
  <c r="N15" i="95" s="1"/>
  <c r="E15" i="95"/>
  <c r="G15" i="95" s="1"/>
  <c r="G14" i="95"/>
  <c r="E14" i="95"/>
  <c r="M13" i="95"/>
  <c r="P13" i="95" s="1"/>
  <c r="Q13" i="95" s="1"/>
  <c r="E13" i="95"/>
  <c r="G13" i="95" s="1"/>
  <c r="M12" i="95"/>
  <c r="P12" i="95" s="1"/>
  <c r="Q12" i="95" s="1"/>
  <c r="E12" i="95"/>
  <c r="M11" i="95"/>
  <c r="P11" i="95" s="1"/>
  <c r="Q11" i="95" s="1"/>
  <c r="E11" i="95"/>
  <c r="M10" i="95"/>
  <c r="P10" i="95" s="1"/>
  <c r="Q10" i="95" s="1"/>
  <c r="E10" i="95"/>
  <c r="M9" i="95"/>
  <c r="N9" i="95" s="1"/>
  <c r="E9" i="95"/>
  <c r="M8" i="95"/>
  <c r="P8" i="95" s="1"/>
  <c r="Q8" i="95" s="1"/>
  <c r="E8" i="95"/>
  <c r="G8" i="95" s="1"/>
  <c r="M7" i="95"/>
  <c r="P7" i="95" s="1"/>
  <c r="Q7" i="95" s="1"/>
  <c r="E7" i="95"/>
  <c r="G7" i="95" s="1"/>
  <c r="M6" i="95"/>
  <c r="N6" i="95" s="1"/>
  <c r="E6" i="95"/>
  <c r="M5" i="95"/>
  <c r="P5" i="95" s="1"/>
  <c r="Q5" i="95" s="1"/>
  <c r="E5" i="95"/>
  <c r="P4" i="95"/>
  <c r="Q4" i="95" s="1"/>
  <c r="N4" i="95"/>
  <c r="K65" i="93"/>
  <c r="L48" i="93"/>
  <c r="H65" i="93"/>
  <c r="M51" i="93"/>
  <c r="M58" i="93"/>
  <c r="H60" i="93"/>
  <c r="R65" i="96" l="1"/>
  <c r="G11" i="95"/>
  <c r="G22" i="95"/>
  <c r="G30" i="95"/>
  <c r="G41" i="95"/>
  <c r="N60" i="95"/>
  <c r="E65" i="95"/>
  <c r="G6" i="95"/>
  <c r="G17" i="95"/>
  <c r="G36" i="95"/>
  <c r="G44" i="95"/>
  <c r="G47" i="95"/>
  <c r="G42" i="95"/>
  <c r="G10" i="95"/>
  <c r="G40" i="95"/>
  <c r="G48" i="95"/>
  <c r="G53" i="95"/>
  <c r="G57" i="95"/>
  <c r="G33" i="95"/>
  <c r="G5" i="95"/>
  <c r="F65" i="95"/>
  <c r="G9" i="95"/>
  <c r="G16" i="95"/>
  <c r="G19" i="95"/>
  <c r="G21" i="95"/>
  <c r="G31" i="95"/>
  <c r="G39" i="95"/>
  <c r="G51" i="95"/>
  <c r="G60" i="95"/>
  <c r="G62" i="95"/>
  <c r="G12" i="95"/>
  <c r="G25" i="95"/>
  <c r="G24" i="95"/>
  <c r="G34" i="95"/>
  <c r="G49" i="95"/>
  <c r="N8" i="95"/>
  <c r="K65" i="95"/>
  <c r="N58" i="95"/>
  <c r="N49" i="95"/>
  <c r="N40" i="95"/>
  <c r="P24" i="95"/>
  <c r="Q24" i="95" s="1"/>
  <c r="N16" i="95"/>
  <c r="P15" i="95"/>
  <c r="Q15" i="95" s="1"/>
  <c r="N13" i="95"/>
  <c r="N63" i="95"/>
  <c r="P59" i="95"/>
  <c r="Q59" i="95" s="1"/>
  <c r="N57" i="95"/>
  <c r="N55" i="95"/>
  <c r="N51" i="95"/>
  <c r="P50" i="95"/>
  <c r="Q50" i="95" s="1"/>
  <c r="N48" i="95"/>
  <c r="N47" i="95"/>
  <c r="P45" i="95"/>
  <c r="Q45" i="95" s="1"/>
  <c r="N42" i="95"/>
  <c r="P41" i="95"/>
  <c r="Q41" i="95" s="1"/>
  <c r="N39" i="95"/>
  <c r="P37" i="95"/>
  <c r="Q37" i="95" s="1"/>
  <c r="N33" i="95"/>
  <c r="P32" i="95"/>
  <c r="Q32" i="95" s="1"/>
  <c r="N31" i="95"/>
  <c r="N30" i="95"/>
  <c r="P28" i="95"/>
  <c r="Q28" i="95" s="1"/>
  <c r="P25" i="95"/>
  <c r="Q25" i="95" s="1"/>
  <c r="P23" i="95"/>
  <c r="Q23" i="95" s="1"/>
  <c r="N22" i="95"/>
  <c r="N20" i="95"/>
  <c r="P14" i="95"/>
  <c r="Q14" i="95" s="1"/>
  <c r="N11" i="95"/>
  <c r="P9" i="95"/>
  <c r="Q9" i="95" s="1"/>
  <c r="N7" i="95"/>
  <c r="P6" i="95"/>
  <c r="Q6" i="95" s="1"/>
  <c r="N5" i="95"/>
  <c r="P53" i="95"/>
  <c r="Q53" i="95" s="1"/>
  <c r="N53" i="95"/>
  <c r="N34" i="95"/>
  <c r="P34" i="95"/>
  <c r="Q34" i="95" s="1"/>
  <c r="N12" i="95"/>
  <c r="N21" i="95"/>
  <c r="N29" i="95"/>
  <c r="N38" i="95"/>
  <c r="N46" i="95"/>
  <c r="N56" i="95"/>
  <c r="N10" i="95"/>
  <c r="N19" i="95"/>
  <c r="N36" i="95"/>
  <c r="N44" i="95"/>
  <c r="N62" i="95"/>
  <c r="M18" i="95"/>
  <c r="M65" i="95" s="1"/>
  <c r="N27" i="95"/>
  <c r="N17" i="95"/>
  <c r="N26" i="95"/>
  <c r="N35" i="95"/>
  <c r="N43" i="95"/>
  <c r="N52" i="95"/>
  <c r="N61" i="95"/>
  <c r="M61" i="93"/>
  <c r="M62" i="93"/>
  <c r="M63" i="93"/>
  <c r="K53" i="93"/>
  <c r="K18" i="93"/>
  <c r="G65" i="95" l="1"/>
  <c r="P18" i="95"/>
  <c r="N18" i="95"/>
  <c r="N65" i="95" s="1"/>
  <c r="M36" i="93"/>
  <c r="Q18" i="95" l="1"/>
  <c r="Q65" i="95" s="1"/>
  <c r="R65" i="95" s="1"/>
  <c r="P65" i="95"/>
  <c r="N63" i="93"/>
  <c r="N36" i="93"/>
  <c r="K34" i="93"/>
  <c r="M34" i="93"/>
  <c r="N34" i="93" s="1"/>
  <c r="L65" i="93"/>
  <c r="J65" i="93"/>
  <c r="J66" i="93" s="1"/>
  <c r="I65" i="93"/>
  <c r="I66" i="93" s="1"/>
  <c r="D65" i="93"/>
  <c r="C65" i="93"/>
  <c r="F63" i="93"/>
  <c r="E63" i="93"/>
  <c r="G63" i="93" s="1"/>
  <c r="N62" i="93"/>
  <c r="F62" i="93"/>
  <c r="E62" i="93"/>
  <c r="G62" i="93" s="1"/>
  <c r="P61" i="93"/>
  <c r="Q61" i="93" s="1"/>
  <c r="F61" i="93"/>
  <c r="E61" i="93"/>
  <c r="G61" i="93" s="1"/>
  <c r="P60" i="93"/>
  <c r="Q60" i="93" s="1"/>
  <c r="G60" i="93"/>
  <c r="F60" i="93"/>
  <c r="E60" i="93"/>
  <c r="M59" i="93"/>
  <c r="P59" i="93" s="1"/>
  <c r="Q59" i="93" s="1"/>
  <c r="G59" i="93"/>
  <c r="F59" i="93"/>
  <c r="E59" i="93"/>
  <c r="N58" i="93"/>
  <c r="G58" i="93"/>
  <c r="F58" i="93"/>
  <c r="E58" i="93"/>
  <c r="M57" i="93"/>
  <c r="N57" i="93" s="1"/>
  <c r="G57" i="93"/>
  <c r="F57" i="93"/>
  <c r="E57" i="93"/>
  <c r="M56" i="93"/>
  <c r="P56" i="93" s="1"/>
  <c r="Q56" i="93" s="1"/>
  <c r="F56" i="93"/>
  <c r="E56" i="93"/>
  <c r="G56" i="93" s="1"/>
  <c r="M55" i="93"/>
  <c r="N55" i="93" s="1"/>
  <c r="F55" i="93"/>
  <c r="E55" i="93"/>
  <c r="G55" i="93" s="1"/>
  <c r="M54" i="93"/>
  <c r="P54" i="93" s="1"/>
  <c r="Q54" i="93" s="1"/>
  <c r="F54" i="93"/>
  <c r="E54" i="93"/>
  <c r="G54" i="93" s="1"/>
  <c r="M53" i="93"/>
  <c r="N53" i="93" s="1"/>
  <c r="F53" i="93"/>
  <c r="E53" i="93"/>
  <c r="G53" i="93" s="1"/>
  <c r="M52" i="93"/>
  <c r="N52" i="93" s="1"/>
  <c r="G52" i="93"/>
  <c r="F52" i="93"/>
  <c r="E52" i="93"/>
  <c r="P51" i="93"/>
  <c r="Q51" i="93" s="1"/>
  <c r="G51" i="93"/>
  <c r="F51" i="93"/>
  <c r="E51" i="93"/>
  <c r="M50" i="93"/>
  <c r="P50" i="93" s="1"/>
  <c r="Q50" i="93" s="1"/>
  <c r="G50" i="93"/>
  <c r="F50" i="93"/>
  <c r="E50" i="93"/>
  <c r="M49" i="93"/>
  <c r="N49" i="93" s="1"/>
  <c r="G49" i="93"/>
  <c r="F49" i="93"/>
  <c r="E49" i="93"/>
  <c r="M48" i="93"/>
  <c r="P48" i="93" s="1"/>
  <c r="Q48" i="93" s="1"/>
  <c r="F48" i="93"/>
  <c r="E48" i="93"/>
  <c r="G48" i="93" s="1"/>
  <c r="M47" i="93"/>
  <c r="N47" i="93" s="1"/>
  <c r="F47" i="93"/>
  <c r="E47" i="93"/>
  <c r="G47" i="93" s="1"/>
  <c r="M46" i="93"/>
  <c r="P46" i="93" s="1"/>
  <c r="Q46" i="93" s="1"/>
  <c r="F46" i="93"/>
  <c r="E46" i="93"/>
  <c r="G46" i="93" s="1"/>
  <c r="M45" i="93"/>
  <c r="P45" i="93" s="1"/>
  <c r="Q45" i="93" s="1"/>
  <c r="F45" i="93"/>
  <c r="E45" i="93"/>
  <c r="G45" i="93" s="1"/>
  <c r="M44" i="93"/>
  <c r="N44" i="93" s="1"/>
  <c r="G44" i="93"/>
  <c r="F44" i="93"/>
  <c r="E44" i="93"/>
  <c r="M43" i="93"/>
  <c r="P43" i="93" s="1"/>
  <c r="Q43" i="93" s="1"/>
  <c r="G43" i="93"/>
  <c r="F43" i="93"/>
  <c r="E43" i="93"/>
  <c r="M42" i="93"/>
  <c r="P42" i="93" s="1"/>
  <c r="Q42" i="93" s="1"/>
  <c r="G42" i="93"/>
  <c r="F42" i="93"/>
  <c r="E42" i="93"/>
  <c r="M41" i="93"/>
  <c r="N41" i="93" s="1"/>
  <c r="G41" i="93"/>
  <c r="F41" i="93"/>
  <c r="E41" i="93"/>
  <c r="M40" i="93"/>
  <c r="P40" i="93" s="1"/>
  <c r="Q40" i="93" s="1"/>
  <c r="F40" i="93"/>
  <c r="E40" i="93"/>
  <c r="G40" i="93" s="1"/>
  <c r="M39" i="93"/>
  <c r="N39" i="93" s="1"/>
  <c r="F39" i="93"/>
  <c r="E39" i="93"/>
  <c r="G39" i="93" s="1"/>
  <c r="M38" i="93"/>
  <c r="P38" i="93" s="1"/>
  <c r="Q38" i="93" s="1"/>
  <c r="F38" i="93"/>
  <c r="E38" i="93"/>
  <c r="G38" i="93" s="1"/>
  <c r="M37" i="93"/>
  <c r="P37" i="93" s="1"/>
  <c r="Q37" i="93" s="1"/>
  <c r="F37" i="93"/>
  <c r="E37" i="93"/>
  <c r="G37" i="93" s="1"/>
  <c r="G36" i="93"/>
  <c r="F36" i="93"/>
  <c r="E36" i="93"/>
  <c r="M35" i="93"/>
  <c r="P35" i="93" s="1"/>
  <c r="Q35" i="93" s="1"/>
  <c r="G35" i="93"/>
  <c r="F35" i="93"/>
  <c r="E35" i="93"/>
  <c r="G34" i="93"/>
  <c r="F34" i="93"/>
  <c r="E34" i="93"/>
  <c r="M33" i="93"/>
  <c r="P33" i="93" s="1"/>
  <c r="Q33" i="93" s="1"/>
  <c r="G33" i="93"/>
  <c r="F33" i="93"/>
  <c r="E33" i="93"/>
  <c r="M32" i="93"/>
  <c r="N32" i="93" s="1"/>
  <c r="G32" i="93"/>
  <c r="F32" i="93"/>
  <c r="E32" i="93"/>
  <c r="M31" i="93"/>
  <c r="P31" i="93" s="1"/>
  <c r="Q31" i="93" s="1"/>
  <c r="F31" i="93"/>
  <c r="E31" i="93"/>
  <c r="G31" i="93" s="1"/>
  <c r="M30" i="93"/>
  <c r="N30" i="93" s="1"/>
  <c r="F30" i="93"/>
  <c r="E30" i="93"/>
  <c r="G30" i="93" s="1"/>
  <c r="M29" i="93"/>
  <c r="N29" i="93" s="1"/>
  <c r="F29" i="93"/>
  <c r="E29" i="93"/>
  <c r="G29" i="93" s="1"/>
  <c r="M28" i="93"/>
  <c r="P28" i="93" s="1"/>
  <c r="Q28" i="93" s="1"/>
  <c r="F28" i="93"/>
  <c r="E28" i="93"/>
  <c r="G28" i="93" s="1"/>
  <c r="M27" i="93"/>
  <c r="N27" i="93" s="1"/>
  <c r="G27" i="93"/>
  <c r="F27" i="93"/>
  <c r="E27" i="93"/>
  <c r="M26" i="93"/>
  <c r="P26" i="93" s="1"/>
  <c r="Q26" i="93" s="1"/>
  <c r="G26" i="93"/>
  <c r="F26" i="93"/>
  <c r="E26" i="93"/>
  <c r="M25" i="93"/>
  <c r="P25" i="93" s="1"/>
  <c r="Q25" i="93" s="1"/>
  <c r="G25" i="93"/>
  <c r="F25" i="93"/>
  <c r="E25" i="93"/>
  <c r="M24" i="93"/>
  <c r="N24" i="93" s="1"/>
  <c r="G24" i="93"/>
  <c r="F24" i="93"/>
  <c r="E24" i="93"/>
  <c r="M23" i="93"/>
  <c r="P23" i="93" s="1"/>
  <c r="Q23" i="93" s="1"/>
  <c r="F23" i="93"/>
  <c r="E23" i="93"/>
  <c r="G23" i="93" s="1"/>
  <c r="M22" i="93"/>
  <c r="N22" i="93" s="1"/>
  <c r="F22" i="93"/>
  <c r="E22" i="93"/>
  <c r="G22" i="93" s="1"/>
  <c r="M21" i="93"/>
  <c r="N21" i="93" s="1"/>
  <c r="F21" i="93"/>
  <c r="E21" i="93"/>
  <c r="G21" i="93" s="1"/>
  <c r="M20" i="93"/>
  <c r="N20" i="93" s="1"/>
  <c r="F20" i="93"/>
  <c r="E20" i="93"/>
  <c r="G20" i="93" s="1"/>
  <c r="M19" i="93"/>
  <c r="P19" i="93" s="1"/>
  <c r="Q19" i="93" s="1"/>
  <c r="G19" i="93"/>
  <c r="F19" i="93"/>
  <c r="E19" i="93"/>
  <c r="M18" i="93"/>
  <c r="P18" i="93" s="1"/>
  <c r="Q18" i="93" s="1"/>
  <c r="G18" i="93"/>
  <c r="F18" i="93"/>
  <c r="E18" i="93"/>
  <c r="M17" i="93"/>
  <c r="N17" i="93" s="1"/>
  <c r="G17" i="93"/>
  <c r="F17" i="93"/>
  <c r="E17" i="93"/>
  <c r="M16" i="93"/>
  <c r="N16" i="93" s="1"/>
  <c r="G16" i="93"/>
  <c r="F16" i="93"/>
  <c r="E16" i="93"/>
  <c r="M15" i="93"/>
  <c r="N15" i="93" s="1"/>
  <c r="F15" i="93"/>
  <c r="G15" i="93" s="1"/>
  <c r="E15" i="93"/>
  <c r="F14" i="93"/>
  <c r="G14" i="93" s="1"/>
  <c r="E14" i="93"/>
  <c r="M13" i="93"/>
  <c r="P13" i="93" s="1"/>
  <c r="Q13" i="93" s="1"/>
  <c r="F13" i="93"/>
  <c r="E13" i="93"/>
  <c r="G13" i="93" s="1"/>
  <c r="M12" i="93"/>
  <c r="P12" i="93" s="1"/>
  <c r="Q12" i="93" s="1"/>
  <c r="F12" i="93"/>
  <c r="E12" i="93"/>
  <c r="G12" i="93" s="1"/>
  <c r="M11" i="93"/>
  <c r="N11" i="93" s="1"/>
  <c r="F11" i="93"/>
  <c r="E11" i="93"/>
  <c r="G11" i="93" s="1"/>
  <c r="M10" i="93"/>
  <c r="P10" i="93" s="1"/>
  <c r="Q10" i="93" s="1"/>
  <c r="F10" i="93"/>
  <c r="E10" i="93"/>
  <c r="G10" i="93" s="1"/>
  <c r="M9" i="93"/>
  <c r="P9" i="93" s="1"/>
  <c r="Q9" i="93" s="1"/>
  <c r="F9" i="93"/>
  <c r="E9" i="93"/>
  <c r="G9" i="93" s="1"/>
  <c r="M8" i="93"/>
  <c r="N8" i="93" s="1"/>
  <c r="G8" i="93"/>
  <c r="F8" i="93"/>
  <c r="E8" i="93"/>
  <c r="M7" i="93"/>
  <c r="P7" i="93" s="1"/>
  <c r="Q7" i="93" s="1"/>
  <c r="G7" i="93"/>
  <c r="F7" i="93"/>
  <c r="E7" i="93"/>
  <c r="M6" i="93"/>
  <c r="F6" i="93"/>
  <c r="G6" i="93" s="1"/>
  <c r="E6" i="93"/>
  <c r="M5" i="93"/>
  <c r="P5" i="93" s="1"/>
  <c r="Q5" i="93" s="1"/>
  <c r="F5" i="93"/>
  <c r="F65" i="93" s="1"/>
  <c r="E5" i="93"/>
  <c r="E65" i="93" s="1"/>
  <c r="Q4" i="93"/>
  <c r="P4" i="93"/>
  <c r="N4" i="93"/>
  <c r="M50" i="91"/>
  <c r="N35" i="93" l="1"/>
  <c r="P47" i="93"/>
  <c r="Q47" i="93" s="1"/>
  <c r="N38" i="93"/>
  <c r="P55" i="93"/>
  <c r="Q55" i="93" s="1"/>
  <c r="N61" i="93"/>
  <c r="P20" i="93"/>
  <c r="Q20" i="93" s="1"/>
  <c r="N37" i="93"/>
  <c r="P30" i="93"/>
  <c r="Q30" i="93" s="1"/>
  <c r="P53" i="93"/>
  <c r="Q53" i="93" s="1"/>
  <c r="N46" i="93"/>
  <c r="P44" i="93"/>
  <c r="Q44" i="93" s="1"/>
  <c r="P36" i="93"/>
  <c r="Q36" i="93" s="1"/>
  <c r="P29" i="93"/>
  <c r="Q29" i="93" s="1"/>
  <c r="P21" i="93"/>
  <c r="Q21" i="93" s="1"/>
  <c r="N19" i="93"/>
  <c r="P27" i="93"/>
  <c r="Q27" i="93" s="1"/>
  <c r="N26" i="93"/>
  <c r="P52" i="93"/>
  <c r="Q52" i="93" s="1"/>
  <c r="P63" i="93"/>
  <c r="Q63" i="93" s="1"/>
  <c r="N10" i="93"/>
  <c r="N28" i="93"/>
  <c r="P39" i="93"/>
  <c r="Q39" i="93" s="1"/>
  <c r="N51" i="93"/>
  <c r="N54" i="93"/>
  <c r="N59" i="93"/>
  <c r="P62" i="93"/>
  <c r="Q62" i="93" s="1"/>
  <c r="N43" i="93"/>
  <c r="N9" i="93"/>
  <c r="N45" i="93"/>
  <c r="P11" i="93"/>
  <c r="Q11" i="93" s="1"/>
  <c r="P22" i="93"/>
  <c r="Q22" i="93" s="1"/>
  <c r="N60" i="93"/>
  <c r="G5" i="93"/>
  <c r="G65" i="93" s="1"/>
  <c r="N18" i="93"/>
  <c r="P8" i="93"/>
  <c r="Q8" i="93" s="1"/>
  <c r="N25" i="93"/>
  <c r="N42" i="93"/>
  <c r="N50" i="93"/>
  <c r="N6" i="93"/>
  <c r="P58" i="93"/>
  <c r="Q58" i="93" s="1"/>
  <c r="N5" i="93"/>
  <c r="P6" i="93"/>
  <c r="Q6" i="93" s="1"/>
  <c r="N13" i="93"/>
  <c r="P15" i="93"/>
  <c r="Q15" i="93" s="1"/>
  <c r="N23" i="93"/>
  <c r="P24" i="93"/>
  <c r="Q24" i="93" s="1"/>
  <c r="N31" i="93"/>
  <c r="P32" i="93"/>
  <c r="Q32" i="93" s="1"/>
  <c r="N40" i="93"/>
  <c r="P41" i="93"/>
  <c r="Q41" i="93" s="1"/>
  <c r="N48" i="93"/>
  <c r="P49" i="93"/>
  <c r="Q49" i="93" s="1"/>
  <c r="N56" i="93"/>
  <c r="P57" i="93"/>
  <c r="Q57" i="93" s="1"/>
  <c r="N7" i="93"/>
  <c r="P17" i="93"/>
  <c r="Q17" i="93" s="1"/>
  <c r="P16" i="93"/>
  <c r="Q16" i="93" s="1"/>
  <c r="P34" i="93"/>
  <c r="Q34" i="93" s="1"/>
  <c r="N12" i="93"/>
  <c r="N33" i="93"/>
  <c r="M14" i="93"/>
  <c r="K14" i="91"/>
  <c r="P14" i="93" l="1"/>
  <c r="N14" i="93"/>
  <c r="N65" i="93" s="1"/>
  <c r="M65" i="93"/>
  <c r="M63" i="91"/>
  <c r="P63" i="91" s="1"/>
  <c r="Q63" i="91" s="1"/>
  <c r="M14" i="91"/>
  <c r="M38" i="91"/>
  <c r="M59" i="91"/>
  <c r="N59" i="91" s="1"/>
  <c r="M62" i="91"/>
  <c r="P62" i="91" s="1"/>
  <c r="Q62" i="91" s="1"/>
  <c r="N61" i="91"/>
  <c r="P60" i="91"/>
  <c r="Q60" i="91" s="1"/>
  <c r="M61" i="91"/>
  <c r="P61" i="91" s="1"/>
  <c r="Q61" i="91" s="1"/>
  <c r="M6" i="91"/>
  <c r="N6" i="91" s="1"/>
  <c r="M7" i="91"/>
  <c r="N7" i="91" s="1"/>
  <c r="M8" i="91"/>
  <c r="P8" i="91" s="1"/>
  <c r="Q8" i="91" s="1"/>
  <c r="M9" i="91"/>
  <c r="N9" i="91" s="1"/>
  <c r="M10" i="91"/>
  <c r="P10" i="91" s="1"/>
  <c r="Q10" i="91" s="1"/>
  <c r="M11" i="91"/>
  <c r="N11" i="91" s="1"/>
  <c r="M12" i="91"/>
  <c r="N12" i="91" s="1"/>
  <c r="M13" i="91"/>
  <c r="N13" i="91" s="1"/>
  <c r="M15" i="91"/>
  <c r="P15" i="91" s="1"/>
  <c r="Q15" i="91" s="1"/>
  <c r="N15" i="91"/>
  <c r="M16" i="91"/>
  <c r="P16" i="91" s="1"/>
  <c r="Q16" i="91" s="1"/>
  <c r="M17" i="91"/>
  <c r="P17" i="91" s="1"/>
  <c r="Q17" i="91" s="1"/>
  <c r="K18" i="91"/>
  <c r="M18" i="91"/>
  <c r="N18" i="91" s="1"/>
  <c r="M19" i="91"/>
  <c r="N19" i="91" s="1"/>
  <c r="M20" i="91"/>
  <c r="N20" i="91" s="1"/>
  <c r="M21" i="91"/>
  <c r="P21" i="91" s="1"/>
  <c r="Q21" i="91" s="1"/>
  <c r="M22" i="91"/>
  <c r="N22" i="91" s="1"/>
  <c r="M23" i="91"/>
  <c r="P23" i="91" s="1"/>
  <c r="Q23" i="91" s="1"/>
  <c r="M24" i="91"/>
  <c r="N24" i="91" s="1"/>
  <c r="M25" i="91"/>
  <c r="N25" i="91" s="1"/>
  <c r="M26" i="91"/>
  <c r="N26" i="91" s="1"/>
  <c r="M27" i="91"/>
  <c r="P27" i="91" s="1"/>
  <c r="Q27" i="91" s="1"/>
  <c r="M28" i="91"/>
  <c r="N28" i="91" s="1"/>
  <c r="M29" i="91"/>
  <c r="N29" i="91" s="1"/>
  <c r="M30" i="91"/>
  <c r="N30" i="91" s="1"/>
  <c r="M31" i="91"/>
  <c r="P31" i="91" s="1"/>
  <c r="Q31" i="91" s="1"/>
  <c r="M32" i="91"/>
  <c r="N32" i="91" s="1"/>
  <c r="M33" i="91"/>
  <c r="N33" i="91" s="1"/>
  <c r="K34" i="91"/>
  <c r="M34" i="91" s="1"/>
  <c r="M35" i="91"/>
  <c r="N35" i="91" s="1"/>
  <c r="M36" i="91"/>
  <c r="N36" i="91" s="1"/>
  <c r="M37" i="91"/>
  <c r="N37" i="91" s="1"/>
  <c r="M39" i="91"/>
  <c r="N39" i="91" s="1"/>
  <c r="M40" i="91"/>
  <c r="N40" i="91" s="1"/>
  <c r="M41" i="91"/>
  <c r="N41" i="91" s="1"/>
  <c r="M42" i="91"/>
  <c r="N42" i="91" s="1"/>
  <c r="M43" i="91"/>
  <c r="N43" i="91" s="1"/>
  <c r="M44" i="91"/>
  <c r="P44" i="91" s="1"/>
  <c r="Q44" i="91" s="1"/>
  <c r="M45" i="91"/>
  <c r="N45" i="91" s="1"/>
  <c r="M46" i="91"/>
  <c r="P46" i="91" s="1"/>
  <c r="Q46" i="91" s="1"/>
  <c r="M47" i="91"/>
  <c r="N47" i="91" s="1"/>
  <c r="M48" i="91"/>
  <c r="N48" i="91" s="1"/>
  <c r="M49" i="91"/>
  <c r="N49" i="91" s="1"/>
  <c r="N50" i="91"/>
  <c r="M51" i="91"/>
  <c r="N51" i="91" s="1"/>
  <c r="M52" i="91"/>
  <c r="N52" i="91" s="1"/>
  <c r="M53" i="91"/>
  <c r="N53" i="91" s="1"/>
  <c r="M54" i="91"/>
  <c r="P54" i="91" s="1"/>
  <c r="Q54" i="91" s="1"/>
  <c r="M55" i="91"/>
  <c r="N55" i="91" s="1"/>
  <c r="M56" i="91"/>
  <c r="N56" i="91" s="1"/>
  <c r="M57" i="91"/>
  <c r="N57" i="91" s="1"/>
  <c r="M58" i="91"/>
  <c r="N58" i="91" s="1"/>
  <c r="H60" i="91"/>
  <c r="H65" i="91" s="1"/>
  <c r="E63" i="91"/>
  <c r="G63" i="91" s="1"/>
  <c r="F63" i="91"/>
  <c r="F60" i="91"/>
  <c r="E60" i="91"/>
  <c r="G60" i="91" s="1"/>
  <c r="E62" i="91"/>
  <c r="G62" i="91" s="1"/>
  <c r="F62" i="91"/>
  <c r="E61" i="91"/>
  <c r="F61" i="91"/>
  <c r="I65" i="91"/>
  <c r="I66" i="91" s="1"/>
  <c r="J65" i="91"/>
  <c r="J66" i="91" s="1"/>
  <c r="P11" i="91" l="1"/>
  <c r="Q11" i="91" s="1"/>
  <c r="Q14" i="93"/>
  <c r="Q65" i="93" s="1"/>
  <c r="R65" i="93" s="1"/>
  <c r="P65" i="93"/>
  <c r="N46" i="91"/>
  <c r="N44" i="91"/>
  <c r="N10" i="91"/>
  <c r="P6" i="91"/>
  <c r="Q6" i="91" s="1"/>
  <c r="N54" i="91"/>
  <c r="N8" i="91"/>
  <c r="G61" i="91"/>
  <c r="P58" i="91"/>
  <c r="Q58" i="91" s="1"/>
  <c r="P56" i="91"/>
  <c r="Q56" i="91" s="1"/>
  <c r="P52" i="91"/>
  <c r="Q52" i="91" s="1"/>
  <c r="P50" i="91"/>
  <c r="Q50" i="91" s="1"/>
  <c r="P48" i="91"/>
  <c r="Q48" i="91" s="1"/>
  <c r="P42" i="91"/>
  <c r="Q42" i="91" s="1"/>
  <c r="P40" i="91"/>
  <c r="Q40" i="91" s="1"/>
  <c r="P37" i="91"/>
  <c r="Q37" i="91" s="1"/>
  <c r="P35" i="91"/>
  <c r="Q35" i="91" s="1"/>
  <c r="P13" i="91"/>
  <c r="Q13" i="91" s="1"/>
  <c r="N63" i="91"/>
  <c r="N62" i="91"/>
  <c r="P57" i="91"/>
  <c r="Q57" i="91" s="1"/>
  <c r="P55" i="91"/>
  <c r="Q55" i="91" s="1"/>
  <c r="P53" i="91"/>
  <c r="Q53" i="91" s="1"/>
  <c r="P51" i="91"/>
  <c r="Q51" i="91" s="1"/>
  <c r="P49" i="91"/>
  <c r="Q49" i="91" s="1"/>
  <c r="P47" i="91"/>
  <c r="Q47" i="91" s="1"/>
  <c r="P45" i="91"/>
  <c r="Q45" i="91" s="1"/>
  <c r="P43" i="91"/>
  <c r="Q43" i="91" s="1"/>
  <c r="P41" i="91"/>
  <c r="Q41" i="91" s="1"/>
  <c r="P39" i="91"/>
  <c r="Q39" i="91" s="1"/>
  <c r="P36" i="91"/>
  <c r="Q36" i="91" s="1"/>
  <c r="P59" i="91"/>
  <c r="Q59" i="91" s="1"/>
  <c r="N17" i="91"/>
  <c r="P7" i="91"/>
  <c r="Q7" i="91" s="1"/>
  <c r="P12" i="91"/>
  <c r="Q12" i="91" s="1"/>
  <c r="N16" i="91"/>
  <c r="P9" i="91"/>
  <c r="Q9" i="91" s="1"/>
  <c r="P14" i="91"/>
  <c r="Q14" i="91" s="1"/>
  <c r="N14" i="91"/>
  <c r="N38" i="91"/>
  <c r="P38" i="91"/>
  <c r="Q38" i="91" s="1"/>
  <c r="N60" i="91"/>
  <c r="N34" i="91"/>
  <c r="P34" i="91"/>
  <c r="Q34" i="91" s="1"/>
  <c r="P33" i="91"/>
  <c r="Q33" i="91" s="1"/>
  <c r="P29" i="91"/>
  <c r="Q29" i="91" s="1"/>
  <c r="P25" i="91"/>
  <c r="Q25" i="91" s="1"/>
  <c r="P19" i="91"/>
  <c r="Q19" i="91" s="1"/>
  <c r="N31" i="91"/>
  <c r="N27" i="91"/>
  <c r="N23" i="91"/>
  <c r="N21" i="91"/>
  <c r="P32" i="91"/>
  <c r="Q32" i="91" s="1"/>
  <c r="P30" i="91"/>
  <c r="Q30" i="91" s="1"/>
  <c r="P28" i="91"/>
  <c r="Q28" i="91" s="1"/>
  <c r="P26" i="91"/>
  <c r="Q26" i="91" s="1"/>
  <c r="P24" i="91"/>
  <c r="Q24" i="91" s="1"/>
  <c r="P22" i="91"/>
  <c r="Q22" i="91" s="1"/>
  <c r="P20" i="91"/>
  <c r="Q20" i="91" s="1"/>
  <c r="P18" i="91"/>
  <c r="Q18" i="91" s="1"/>
  <c r="D65" i="91" l="1"/>
  <c r="C65" i="91"/>
  <c r="F59" i="91"/>
  <c r="E59" i="91"/>
  <c r="G59" i="91" s="1"/>
  <c r="F58" i="91"/>
  <c r="E58" i="91"/>
  <c r="G58" i="91" s="1"/>
  <c r="F57" i="91"/>
  <c r="E57" i="91"/>
  <c r="F56" i="91"/>
  <c r="E56" i="91"/>
  <c r="F55" i="91"/>
  <c r="E55" i="91"/>
  <c r="F54" i="91"/>
  <c r="E54" i="91"/>
  <c r="F53" i="91"/>
  <c r="E53" i="91"/>
  <c r="F52" i="91"/>
  <c r="E52" i="91"/>
  <c r="F51" i="91"/>
  <c r="E51" i="91"/>
  <c r="F50" i="91"/>
  <c r="E50" i="91"/>
  <c r="F49" i="91"/>
  <c r="E49" i="91"/>
  <c r="G49" i="91" s="1"/>
  <c r="F48" i="91"/>
  <c r="E48" i="91"/>
  <c r="F47" i="91"/>
  <c r="E47" i="91"/>
  <c r="F46" i="91"/>
  <c r="E46" i="91"/>
  <c r="F45" i="91"/>
  <c r="E45" i="91"/>
  <c r="F44" i="91"/>
  <c r="E44" i="91"/>
  <c r="F43" i="91"/>
  <c r="E43" i="91"/>
  <c r="F42" i="91"/>
  <c r="E42" i="91"/>
  <c r="G42" i="91" s="1"/>
  <c r="F41" i="91"/>
  <c r="E41" i="91"/>
  <c r="F40" i="91"/>
  <c r="E40" i="91"/>
  <c r="F39" i="91"/>
  <c r="E39" i="91"/>
  <c r="F38" i="91"/>
  <c r="E38" i="91"/>
  <c r="F37" i="91"/>
  <c r="E37" i="91"/>
  <c r="F36" i="91"/>
  <c r="E36" i="91"/>
  <c r="G36" i="91" s="1"/>
  <c r="F35" i="91"/>
  <c r="E35" i="91"/>
  <c r="F34" i="91"/>
  <c r="E34" i="91"/>
  <c r="F33" i="91"/>
  <c r="E33" i="91"/>
  <c r="F32" i="91"/>
  <c r="E32" i="91"/>
  <c r="F31" i="91"/>
  <c r="E31" i="91"/>
  <c r="F30" i="91"/>
  <c r="E30" i="91"/>
  <c r="G30" i="91" s="1"/>
  <c r="F29" i="91"/>
  <c r="E29" i="91"/>
  <c r="G29" i="91" s="1"/>
  <c r="F28" i="91"/>
  <c r="E28" i="91"/>
  <c r="F27" i="91"/>
  <c r="E27" i="91"/>
  <c r="F26" i="91"/>
  <c r="E26" i="91"/>
  <c r="F25" i="91"/>
  <c r="E25" i="91"/>
  <c r="G25" i="91" s="1"/>
  <c r="F24" i="91"/>
  <c r="E24" i="91"/>
  <c r="F23" i="91"/>
  <c r="E23" i="91"/>
  <c r="F22" i="91"/>
  <c r="E22" i="91"/>
  <c r="G22" i="91" s="1"/>
  <c r="F21" i="91"/>
  <c r="E21" i="91"/>
  <c r="F20" i="91"/>
  <c r="E20" i="91"/>
  <c r="F19" i="91"/>
  <c r="E19" i="91"/>
  <c r="F18" i="91"/>
  <c r="E18" i="91"/>
  <c r="F17" i="91"/>
  <c r="E17" i="91"/>
  <c r="F16" i="91"/>
  <c r="E16" i="91"/>
  <c r="F15" i="91"/>
  <c r="E15" i="91"/>
  <c r="F14" i="91"/>
  <c r="E14" i="91"/>
  <c r="F13" i="91"/>
  <c r="E13" i="91"/>
  <c r="F12" i="91"/>
  <c r="E12" i="91"/>
  <c r="G12" i="91" s="1"/>
  <c r="F11" i="91"/>
  <c r="E11" i="91"/>
  <c r="F10" i="91"/>
  <c r="E10" i="91"/>
  <c r="F9" i="91"/>
  <c r="E9" i="91"/>
  <c r="F8" i="91"/>
  <c r="E8" i="91"/>
  <c r="F7" i="91"/>
  <c r="E7" i="91"/>
  <c r="F6" i="91"/>
  <c r="E6" i="91"/>
  <c r="M5" i="91"/>
  <c r="N5" i="91" s="1"/>
  <c r="F5" i="91"/>
  <c r="E5" i="91"/>
  <c r="P4" i="91"/>
  <c r="N4" i="91"/>
  <c r="L48" i="89"/>
  <c r="G26" i="91" l="1"/>
  <c r="G57" i="91"/>
  <c r="G9" i="91"/>
  <c r="G28" i="91"/>
  <c r="G7" i="91"/>
  <c r="G18" i="91"/>
  <c r="G31" i="91"/>
  <c r="G37" i="91"/>
  <c r="G45" i="91"/>
  <c r="G53" i="91"/>
  <c r="G48" i="91"/>
  <c r="G19" i="91"/>
  <c r="G54" i="91"/>
  <c r="G27" i="91"/>
  <c r="G32" i="91"/>
  <c r="G40" i="91"/>
  <c r="G13" i="91"/>
  <c r="G34" i="91"/>
  <c r="G17" i="91"/>
  <c r="G51" i="91"/>
  <c r="G56" i="91"/>
  <c r="G16" i="91"/>
  <c r="G15" i="91"/>
  <c r="G20" i="91"/>
  <c r="G33" i="91"/>
  <c r="G10" i="91"/>
  <c r="G44" i="91"/>
  <c r="G14" i="91"/>
  <c r="G24" i="91"/>
  <c r="G39" i="91"/>
  <c r="G46" i="91"/>
  <c r="G35" i="91"/>
  <c r="G47" i="91"/>
  <c r="G8" i="91"/>
  <c r="G38" i="91"/>
  <c r="G52" i="91"/>
  <c r="G6" i="91"/>
  <c r="G23" i="91"/>
  <c r="G43" i="91"/>
  <c r="G50" i="91"/>
  <c r="K65" i="91"/>
  <c r="G5" i="91"/>
  <c r="G11" i="91"/>
  <c r="G21" i="91"/>
  <c r="G41" i="91"/>
  <c r="G55" i="91"/>
  <c r="P5" i="91"/>
  <c r="Q5" i="91" s="1"/>
  <c r="Q4" i="91"/>
  <c r="L65" i="91"/>
  <c r="E65" i="91"/>
  <c r="H62" i="89"/>
  <c r="K34" i="89"/>
  <c r="K18" i="89"/>
  <c r="N65" i="91" l="1"/>
  <c r="M65" i="91"/>
  <c r="Q65" i="91"/>
  <c r="P65" i="91"/>
  <c r="H60" i="89"/>
  <c r="M54" i="89"/>
  <c r="M37" i="89"/>
  <c r="M36" i="89"/>
  <c r="K16" i="89"/>
  <c r="R65" i="91" l="1"/>
  <c r="L62" i="89"/>
  <c r="J62" i="89"/>
  <c r="J63" i="89" s="1"/>
  <c r="I62" i="89"/>
  <c r="I63" i="89" s="1"/>
  <c r="D62" i="89"/>
  <c r="C62" i="89"/>
  <c r="P60" i="89"/>
  <c r="Q60" i="89" s="1"/>
  <c r="F60" i="89"/>
  <c r="E60" i="89"/>
  <c r="M59" i="89"/>
  <c r="P59" i="89" s="1"/>
  <c r="Q59" i="89" s="1"/>
  <c r="F59" i="89"/>
  <c r="E59" i="89"/>
  <c r="G59" i="89" s="1"/>
  <c r="M58" i="89"/>
  <c r="N58" i="89" s="1"/>
  <c r="F58" i="89"/>
  <c r="E58" i="89"/>
  <c r="G58" i="89" s="1"/>
  <c r="M57" i="89"/>
  <c r="N57" i="89" s="1"/>
  <c r="F57" i="89"/>
  <c r="E57" i="89"/>
  <c r="M56" i="89"/>
  <c r="N56" i="89" s="1"/>
  <c r="F56" i="89"/>
  <c r="E56" i="89"/>
  <c r="M55" i="89"/>
  <c r="P55" i="89" s="1"/>
  <c r="Q55" i="89" s="1"/>
  <c r="F55" i="89"/>
  <c r="E55" i="89"/>
  <c r="G55" i="89" s="1"/>
  <c r="P54" i="89"/>
  <c r="Q54" i="89" s="1"/>
  <c r="F54" i="89"/>
  <c r="E54" i="89"/>
  <c r="G54" i="89" s="1"/>
  <c r="M53" i="89"/>
  <c r="P53" i="89" s="1"/>
  <c r="Q53" i="89" s="1"/>
  <c r="F53" i="89"/>
  <c r="E53" i="89"/>
  <c r="M52" i="89"/>
  <c r="N52" i="89" s="1"/>
  <c r="F52" i="89"/>
  <c r="E52" i="89"/>
  <c r="M51" i="89"/>
  <c r="P51" i="89" s="1"/>
  <c r="Q51" i="89" s="1"/>
  <c r="F51" i="89"/>
  <c r="E51" i="89"/>
  <c r="M50" i="89"/>
  <c r="P50" i="89" s="1"/>
  <c r="Q50" i="89" s="1"/>
  <c r="F50" i="89"/>
  <c r="E50" i="89"/>
  <c r="G50" i="89" s="1"/>
  <c r="M49" i="89"/>
  <c r="N49" i="89" s="1"/>
  <c r="F49" i="89"/>
  <c r="E49" i="89"/>
  <c r="M48" i="89"/>
  <c r="P48" i="89" s="1"/>
  <c r="Q48" i="89" s="1"/>
  <c r="F48" i="89"/>
  <c r="E48" i="89"/>
  <c r="M47" i="89"/>
  <c r="P47" i="89" s="1"/>
  <c r="Q47" i="89" s="1"/>
  <c r="F47" i="89"/>
  <c r="E47" i="89"/>
  <c r="M46" i="89"/>
  <c r="P46" i="89" s="1"/>
  <c r="Q46" i="89" s="1"/>
  <c r="F46" i="89"/>
  <c r="E46" i="89"/>
  <c r="M45" i="89"/>
  <c r="P45" i="89" s="1"/>
  <c r="Q45" i="89" s="1"/>
  <c r="F45" i="89"/>
  <c r="E45" i="89"/>
  <c r="M44" i="89"/>
  <c r="N44" i="89" s="1"/>
  <c r="F44" i="89"/>
  <c r="E44" i="89"/>
  <c r="G44" i="89" s="1"/>
  <c r="M43" i="89"/>
  <c r="N43" i="89" s="1"/>
  <c r="F43" i="89"/>
  <c r="E43" i="89"/>
  <c r="M42" i="89"/>
  <c r="N42" i="89" s="1"/>
  <c r="F42" i="89"/>
  <c r="E42" i="89"/>
  <c r="M41" i="89"/>
  <c r="N41" i="89" s="1"/>
  <c r="F41" i="89"/>
  <c r="E41" i="89"/>
  <c r="M40" i="89"/>
  <c r="P40" i="89" s="1"/>
  <c r="Q40" i="89" s="1"/>
  <c r="F40" i="89"/>
  <c r="E40" i="89"/>
  <c r="M39" i="89"/>
  <c r="P39" i="89" s="1"/>
  <c r="Q39" i="89" s="1"/>
  <c r="F39" i="89"/>
  <c r="E39" i="89"/>
  <c r="M38" i="89"/>
  <c r="P38" i="89" s="1"/>
  <c r="Q38" i="89" s="1"/>
  <c r="F38" i="89"/>
  <c r="E38" i="89"/>
  <c r="G38" i="89" s="1"/>
  <c r="P37" i="89"/>
  <c r="Q37" i="89" s="1"/>
  <c r="F37" i="89"/>
  <c r="E37" i="89"/>
  <c r="N36" i="89"/>
  <c r="F36" i="89"/>
  <c r="E36" i="89"/>
  <c r="M35" i="89"/>
  <c r="P35" i="89" s="1"/>
  <c r="Q35" i="89" s="1"/>
  <c r="F35" i="89"/>
  <c r="E35" i="89"/>
  <c r="G35" i="89" s="1"/>
  <c r="M34" i="89"/>
  <c r="P34" i="89" s="1"/>
  <c r="Q34" i="89" s="1"/>
  <c r="F34" i="89"/>
  <c r="E34" i="89"/>
  <c r="G34" i="89" s="1"/>
  <c r="M33" i="89"/>
  <c r="P33" i="89" s="1"/>
  <c r="Q33" i="89" s="1"/>
  <c r="F33" i="89"/>
  <c r="E33" i="89"/>
  <c r="G33" i="89" s="1"/>
  <c r="M32" i="89"/>
  <c r="P32" i="89" s="1"/>
  <c r="Q32" i="89" s="1"/>
  <c r="F32" i="89"/>
  <c r="E32" i="89"/>
  <c r="M31" i="89"/>
  <c r="N31" i="89" s="1"/>
  <c r="F31" i="89"/>
  <c r="E31" i="89"/>
  <c r="M30" i="89"/>
  <c r="P30" i="89" s="1"/>
  <c r="Q30" i="89" s="1"/>
  <c r="F30" i="89"/>
  <c r="E30" i="89"/>
  <c r="M29" i="89"/>
  <c r="P29" i="89" s="1"/>
  <c r="Q29" i="89" s="1"/>
  <c r="F29" i="89"/>
  <c r="E29" i="89"/>
  <c r="M28" i="89"/>
  <c r="N28" i="89" s="1"/>
  <c r="F28" i="89"/>
  <c r="E28" i="89"/>
  <c r="G28" i="89" s="1"/>
  <c r="M27" i="89"/>
  <c r="N27" i="89" s="1"/>
  <c r="F27" i="89"/>
  <c r="E27" i="89"/>
  <c r="G27" i="89" s="1"/>
  <c r="M26" i="89"/>
  <c r="P26" i="89" s="1"/>
  <c r="Q26" i="89" s="1"/>
  <c r="F26" i="89"/>
  <c r="E26" i="89"/>
  <c r="M25" i="89"/>
  <c r="N25" i="89" s="1"/>
  <c r="F25" i="89"/>
  <c r="E25" i="89"/>
  <c r="M24" i="89"/>
  <c r="P24" i="89" s="1"/>
  <c r="Q24" i="89" s="1"/>
  <c r="F24" i="89"/>
  <c r="E24" i="89"/>
  <c r="M23" i="89"/>
  <c r="P23" i="89" s="1"/>
  <c r="Q23" i="89" s="1"/>
  <c r="F23" i="89"/>
  <c r="E23" i="89"/>
  <c r="M22" i="89"/>
  <c r="P22" i="89" s="1"/>
  <c r="Q22" i="89" s="1"/>
  <c r="F22" i="89"/>
  <c r="E22" i="89"/>
  <c r="G22" i="89" s="1"/>
  <c r="M21" i="89"/>
  <c r="P21" i="89" s="1"/>
  <c r="Q21" i="89" s="1"/>
  <c r="F21" i="89"/>
  <c r="E21" i="89"/>
  <c r="M20" i="89"/>
  <c r="N20" i="89" s="1"/>
  <c r="F20" i="89"/>
  <c r="E20" i="89"/>
  <c r="M19" i="89"/>
  <c r="P19" i="89" s="1"/>
  <c r="Q19" i="89" s="1"/>
  <c r="F19" i="89"/>
  <c r="E19" i="89"/>
  <c r="G19" i="89" s="1"/>
  <c r="K62" i="89"/>
  <c r="F18" i="89"/>
  <c r="E18" i="89"/>
  <c r="M17" i="89"/>
  <c r="P17" i="89" s="1"/>
  <c r="Q17" i="89" s="1"/>
  <c r="F17" i="89"/>
  <c r="E17" i="89"/>
  <c r="M16" i="89"/>
  <c r="P16" i="89" s="1"/>
  <c r="Q16" i="89" s="1"/>
  <c r="F16" i="89"/>
  <c r="E16" i="89"/>
  <c r="M15" i="89"/>
  <c r="P15" i="89" s="1"/>
  <c r="Q15" i="89" s="1"/>
  <c r="F15" i="89"/>
  <c r="E15" i="89"/>
  <c r="M14" i="89"/>
  <c r="P14" i="89" s="1"/>
  <c r="Q14" i="89" s="1"/>
  <c r="F14" i="89"/>
  <c r="E14" i="89"/>
  <c r="M13" i="89"/>
  <c r="N13" i="89" s="1"/>
  <c r="F13" i="89"/>
  <c r="G13" i="89" s="1"/>
  <c r="E13" i="89"/>
  <c r="M12" i="89"/>
  <c r="P12" i="89" s="1"/>
  <c r="Q12" i="89" s="1"/>
  <c r="F12" i="89"/>
  <c r="E12" i="89"/>
  <c r="G12" i="89" s="1"/>
  <c r="M11" i="89"/>
  <c r="P11" i="89" s="1"/>
  <c r="Q11" i="89" s="1"/>
  <c r="F11" i="89"/>
  <c r="E11" i="89"/>
  <c r="M10" i="89"/>
  <c r="P10" i="89" s="1"/>
  <c r="Q10" i="89" s="1"/>
  <c r="F10" i="89"/>
  <c r="E10" i="89"/>
  <c r="G10" i="89" s="1"/>
  <c r="M9" i="89"/>
  <c r="P9" i="89" s="1"/>
  <c r="Q9" i="89" s="1"/>
  <c r="F9" i="89"/>
  <c r="E9" i="89"/>
  <c r="G9" i="89" s="1"/>
  <c r="M8" i="89"/>
  <c r="P8" i="89" s="1"/>
  <c r="Q8" i="89" s="1"/>
  <c r="F8" i="89"/>
  <c r="G8" i="89" s="1"/>
  <c r="E8" i="89"/>
  <c r="M7" i="89"/>
  <c r="P7" i="89" s="1"/>
  <c r="Q7" i="89" s="1"/>
  <c r="F7" i="89"/>
  <c r="E7" i="89"/>
  <c r="M6" i="89"/>
  <c r="P6" i="89" s="1"/>
  <c r="Q6" i="89" s="1"/>
  <c r="F6" i="89"/>
  <c r="E6" i="89"/>
  <c r="M5" i="89"/>
  <c r="N5" i="89" s="1"/>
  <c r="F5" i="89"/>
  <c r="E5" i="89"/>
  <c r="G5" i="89" s="1"/>
  <c r="P4" i="89"/>
  <c r="N4" i="89"/>
  <c r="H64" i="88"/>
  <c r="H62" i="88"/>
  <c r="M56" i="88"/>
  <c r="G21" i="89" l="1"/>
  <c r="G40" i="89"/>
  <c r="G48" i="89"/>
  <c r="N60" i="89"/>
  <c r="P58" i="89"/>
  <c r="Q58" i="89" s="1"/>
  <c r="P56" i="89"/>
  <c r="Q56" i="89" s="1"/>
  <c r="P27" i="89"/>
  <c r="Q27" i="89" s="1"/>
  <c r="N26" i="89"/>
  <c r="N12" i="89"/>
  <c r="N53" i="89"/>
  <c r="P42" i="89"/>
  <c r="Q42" i="89" s="1"/>
  <c r="G24" i="89"/>
  <c r="N35" i="89"/>
  <c r="G41" i="89"/>
  <c r="G52" i="89"/>
  <c r="N16" i="89"/>
  <c r="G36" i="89"/>
  <c r="N50" i="89"/>
  <c r="G25" i="89"/>
  <c r="P31" i="89"/>
  <c r="Q31" i="89" s="1"/>
  <c r="G39" i="89"/>
  <c r="P43" i="89"/>
  <c r="Q43" i="89" s="1"/>
  <c r="G53" i="89"/>
  <c r="G57" i="89"/>
  <c r="G20" i="89"/>
  <c r="G32" i="89"/>
  <c r="G37" i="89"/>
  <c r="G49" i="89"/>
  <c r="G6" i="89"/>
  <c r="G23" i="89"/>
  <c r="G56" i="89"/>
  <c r="N51" i="89"/>
  <c r="N34" i="89"/>
  <c r="N19" i="89"/>
  <c r="N17" i="89"/>
  <c r="G11" i="89"/>
  <c r="G15" i="89"/>
  <c r="G17" i="89"/>
  <c r="M18" i="89"/>
  <c r="M62" i="89" s="1"/>
  <c r="N23" i="89"/>
  <c r="P28" i="89"/>
  <c r="Q28" i="89" s="1"/>
  <c r="N30" i="89"/>
  <c r="N39" i="89"/>
  <c r="G43" i="89"/>
  <c r="P44" i="89"/>
  <c r="Q44" i="89" s="1"/>
  <c r="N46" i="89"/>
  <c r="P57" i="89"/>
  <c r="Q57" i="89" s="1"/>
  <c r="G7" i="89"/>
  <c r="G26" i="89"/>
  <c r="G29" i="89"/>
  <c r="G31" i="89"/>
  <c r="G42" i="89"/>
  <c r="G45" i="89"/>
  <c r="G47" i="89"/>
  <c r="G60" i="89"/>
  <c r="F62" i="89"/>
  <c r="P13" i="89"/>
  <c r="Q13" i="89" s="1"/>
  <c r="G16" i="89"/>
  <c r="P20" i="89"/>
  <c r="Q20" i="89" s="1"/>
  <c r="N22" i="89"/>
  <c r="P36" i="89"/>
  <c r="Q36" i="89" s="1"/>
  <c r="N38" i="89"/>
  <c r="N47" i="89"/>
  <c r="G51" i="89"/>
  <c r="P52" i="89"/>
  <c r="Q52" i="89" s="1"/>
  <c r="G14" i="89"/>
  <c r="G18" i="89"/>
  <c r="G30" i="89"/>
  <c r="G46" i="89"/>
  <c r="N15" i="89"/>
  <c r="N11" i="89"/>
  <c r="N8" i="89"/>
  <c r="N7" i="89"/>
  <c r="P5" i="89"/>
  <c r="Q5" i="89" s="1"/>
  <c r="Q4" i="89"/>
  <c r="N10" i="89"/>
  <c r="N33" i="89"/>
  <c r="N55" i="89"/>
  <c r="N9" i="89"/>
  <c r="N24" i="89"/>
  <c r="P25" i="89"/>
  <c r="Q25" i="89" s="1"/>
  <c r="N32" i="89"/>
  <c r="N40" i="89"/>
  <c r="P41" i="89"/>
  <c r="Q41" i="89" s="1"/>
  <c r="N48" i="89"/>
  <c r="P49" i="89"/>
  <c r="Q49" i="89" s="1"/>
  <c r="N54" i="89"/>
  <c r="E62" i="89"/>
  <c r="N6" i="89"/>
  <c r="N14" i="89"/>
  <c r="N21" i="89"/>
  <c r="N29" i="89"/>
  <c r="N37" i="89"/>
  <c r="N45" i="89"/>
  <c r="N59" i="89"/>
  <c r="Q17" i="88"/>
  <c r="P17" i="88"/>
  <c r="N17" i="88"/>
  <c r="Q54" i="88"/>
  <c r="P54" i="88"/>
  <c r="N54" i="88"/>
  <c r="P38" i="88"/>
  <c r="Q38" i="88" s="1"/>
  <c r="N38" i="88"/>
  <c r="M38" i="88"/>
  <c r="G62" i="89" l="1"/>
  <c r="P18" i="89"/>
  <c r="Q18" i="89" s="1"/>
  <c r="Q62" i="89" s="1"/>
  <c r="N18" i="89"/>
  <c r="N62" i="89" s="1"/>
  <c r="M10" i="88"/>
  <c r="M61" i="88"/>
  <c r="P61" i="88" s="1"/>
  <c r="Q61" i="88" s="1"/>
  <c r="F61" i="88"/>
  <c r="E61" i="88"/>
  <c r="G61" i="88" s="1"/>
  <c r="J64" i="88"/>
  <c r="J65" i="88" s="1"/>
  <c r="I64" i="88"/>
  <c r="I65" i="88" s="1"/>
  <c r="D64" i="88"/>
  <c r="C64" i="88"/>
  <c r="P62" i="88"/>
  <c r="Q62" i="88" s="1"/>
  <c r="F62" i="88"/>
  <c r="E62" i="88"/>
  <c r="M60" i="88"/>
  <c r="P60" i="88" s="1"/>
  <c r="Q60" i="88" s="1"/>
  <c r="F60" i="88"/>
  <c r="E60" i="88"/>
  <c r="M59" i="88"/>
  <c r="P59" i="88" s="1"/>
  <c r="Q59" i="88" s="1"/>
  <c r="F59" i="88"/>
  <c r="E59" i="88"/>
  <c r="M58" i="88"/>
  <c r="N58" i="88" s="1"/>
  <c r="F58" i="88"/>
  <c r="E58" i="88"/>
  <c r="G58" i="88" s="1"/>
  <c r="M57" i="88"/>
  <c r="N57" i="88" s="1"/>
  <c r="F57" i="88"/>
  <c r="E57" i="88"/>
  <c r="P56" i="88"/>
  <c r="Q56" i="88" s="1"/>
  <c r="F56" i="88"/>
  <c r="E56" i="88"/>
  <c r="G56" i="88" s="1"/>
  <c r="M55" i="88"/>
  <c r="P55" i="88" s="1"/>
  <c r="Q55" i="88" s="1"/>
  <c r="F55" i="88"/>
  <c r="E55" i="88"/>
  <c r="F54" i="88"/>
  <c r="E54" i="88"/>
  <c r="M53" i="88"/>
  <c r="P53" i="88" s="1"/>
  <c r="Q53" i="88" s="1"/>
  <c r="F53" i="88"/>
  <c r="E53" i="88"/>
  <c r="M52" i="88"/>
  <c r="P52" i="88" s="1"/>
  <c r="Q52" i="88" s="1"/>
  <c r="F52" i="88"/>
  <c r="E52" i="88"/>
  <c r="M51" i="88"/>
  <c r="P51" i="88" s="1"/>
  <c r="Q51" i="88" s="1"/>
  <c r="F51" i="88"/>
  <c r="E51" i="88"/>
  <c r="M50" i="88"/>
  <c r="P50" i="88" s="1"/>
  <c r="Q50" i="88" s="1"/>
  <c r="F50" i="88"/>
  <c r="E50" i="88"/>
  <c r="M49" i="88"/>
  <c r="P49" i="88" s="1"/>
  <c r="Q49" i="88" s="1"/>
  <c r="F49" i="88"/>
  <c r="E49" i="88"/>
  <c r="L64" i="88"/>
  <c r="F48" i="88"/>
  <c r="E48" i="88"/>
  <c r="M47" i="88"/>
  <c r="P47" i="88" s="1"/>
  <c r="Q47" i="88" s="1"/>
  <c r="F47" i="88"/>
  <c r="E47" i="88"/>
  <c r="G47" i="88" s="1"/>
  <c r="M46" i="88"/>
  <c r="P46" i="88" s="1"/>
  <c r="Q46" i="88" s="1"/>
  <c r="F46" i="88"/>
  <c r="E46" i="88"/>
  <c r="G46" i="88" s="1"/>
  <c r="M45" i="88"/>
  <c r="F45" i="88"/>
  <c r="E45" i="88"/>
  <c r="M44" i="88"/>
  <c r="P44" i="88" s="1"/>
  <c r="Q44" i="88" s="1"/>
  <c r="F44" i="88"/>
  <c r="E44" i="88"/>
  <c r="M43" i="88"/>
  <c r="P43" i="88" s="1"/>
  <c r="Q43" i="88" s="1"/>
  <c r="F43" i="88"/>
  <c r="E43" i="88"/>
  <c r="G43" i="88" s="1"/>
  <c r="M42" i="88"/>
  <c r="N42" i="88" s="1"/>
  <c r="F42" i="88"/>
  <c r="E42" i="88"/>
  <c r="M41" i="88"/>
  <c r="N41" i="88" s="1"/>
  <c r="F41" i="88"/>
  <c r="E41" i="88"/>
  <c r="M40" i="88"/>
  <c r="N40" i="88" s="1"/>
  <c r="F40" i="88"/>
  <c r="E40" i="88"/>
  <c r="M39" i="88"/>
  <c r="P39" i="88" s="1"/>
  <c r="Q39" i="88" s="1"/>
  <c r="F39" i="88"/>
  <c r="G39" i="88" s="1"/>
  <c r="E39" i="88"/>
  <c r="F38" i="88"/>
  <c r="G38" i="88" s="1"/>
  <c r="E38" i="88"/>
  <c r="M37" i="88"/>
  <c r="P37" i="88" s="1"/>
  <c r="Q37" i="88" s="1"/>
  <c r="F37" i="88"/>
  <c r="G37" i="88" s="1"/>
  <c r="E37" i="88"/>
  <c r="M36" i="88"/>
  <c r="P36" i="88" s="1"/>
  <c r="Q36" i="88" s="1"/>
  <c r="F36" i="88"/>
  <c r="E36" i="88"/>
  <c r="M35" i="88"/>
  <c r="P35" i="88" s="1"/>
  <c r="Q35" i="88" s="1"/>
  <c r="F35" i="88"/>
  <c r="E35" i="88"/>
  <c r="M34" i="88"/>
  <c r="N34" i="88" s="1"/>
  <c r="F34" i="88"/>
  <c r="E34" i="88"/>
  <c r="M33" i="88"/>
  <c r="P33" i="88" s="1"/>
  <c r="Q33" i="88" s="1"/>
  <c r="F33" i="88"/>
  <c r="E33" i="88"/>
  <c r="M32" i="88"/>
  <c r="N32" i="88" s="1"/>
  <c r="F32" i="88"/>
  <c r="E32" i="88"/>
  <c r="M31" i="88"/>
  <c r="N31" i="88" s="1"/>
  <c r="F31" i="88"/>
  <c r="E31" i="88"/>
  <c r="G31" i="88" s="1"/>
  <c r="M30" i="88"/>
  <c r="P30" i="88" s="1"/>
  <c r="Q30" i="88" s="1"/>
  <c r="F30" i="88"/>
  <c r="E30" i="88"/>
  <c r="G30" i="88" s="1"/>
  <c r="M29" i="88"/>
  <c r="P29" i="88" s="1"/>
  <c r="Q29" i="88" s="1"/>
  <c r="F29" i="88"/>
  <c r="E29" i="88"/>
  <c r="G29" i="88" s="1"/>
  <c r="M28" i="88"/>
  <c r="N28" i="88" s="1"/>
  <c r="F28" i="88"/>
  <c r="E28" i="88"/>
  <c r="M27" i="88"/>
  <c r="N27" i="88" s="1"/>
  <c r="F27" i="88"/>
  <c r="E27" i="88"/>
  <c r="M26" i="88"/>
  <c r="N26" i="88" s="1"/>
  <c r="F26" i="88"/>
  <c r="E26" i="88"/>
  <c r="M25" i="88"/>
  <c r="N25" i="88" s="1"/>
  <c r="F25" i="88"/>
  <c r="E25" i="88"/>
  <c r="G25" i="88" s="1"/>
  <c r="M24" i="88"/>
  <c r="P24" i="88" s="1"/>
  <c r="Q24" i="88" s="1"/>
  <c r="F24" i="88"/>
  <c r="E24" i="88"/>
  <c r="M23" i="88"/>
  <c r="P23" i="88" s="1"/>
  <c r="Q23" i="88" s="1"/>
  <c r="F23" i="88"/>
  <c r="G23" i="88" s="1"/>
  <c r="E23" i="88"/>
  <c r="M22" i="88"/>
  <c r="P22" i="88" s="1"/>
  <c r="Q22" i="88" s="1"/>
  <c r="F22" i="88"/>
  <c r="E22" i="88"/>
  <c r="M21" i="88"/>
  <c r="P21" i="88" s="1"/>
  <c r="Q21" i="88" s="1"/>
  <c r="F21" i="88"/>
  <c r="E21" i="88"/>
  <c r="M20" i="88"/>
  <c r="N20" i="88" s="1"/>
  <c r="F20" i="88"/>
  <c r="E20" i="88"/>
  <c r="K19" i="88"/>
  <c r="K64" i="88" s="1"/>
  <c r="F19" i="88"/>
  <c r="E19" i="88"/>
  <c r="M18" i="88"/>
  <c r="N18" i="88" s="1"/>
  <c r="F18" i="88"/>
  <c r="E18" i="88"/>
  <c r="F17" i="88"/>
  <c r="E17" i="88"/>
  <c r="M16" i="88"/>
  <c r="N16" i="88" s="1"/>
  <c r="F16" i="88"/>
  <c r="G16" i="88" s="1"/>
  <c r="E16" i="88"/>
  <c r="M15" i="88"/>
  <c r="P15" i="88" s="1"/>
  <c r="Q15" i="88" s="1"/>
  <c r="F15" i="88"/>
  <c r="E15" i="88"/>
  <c r="M14" i="88"/>
  <c r="P14" i="88" s="1"/>
  <c r="Q14" i="88" s="1"/>
  <c r="F14" i="88"/>
  <c r="E14" i="88"/>
  <c r="M13" i="88"/>
  <c r="P13" i="88" s="1"/>
  <c r="Q13" i="88" s="1"/>
  <c r="F13" i="88"/>
  <c r="E13" i="88"/>
  <c r="M12" i="88"/>
  <c r="P12" i="88" s="1"/>
  <c r="Q12" i="88" s="1"/>
  <c r="F12" i="88"/>
  <c r="E12" i="88"/>
  <c r="M11" i="88"/>
  <c r="N11" i="88" s="1"/>
  <c r="F11" i="88"/>
  <c r="E11" i="88"/>
  <c r="P10" i="88"/>
  <c r="Q10" i="88" s="1"/>
  <c r="F10" i="88"/>
  <c r="E10" i="88"/>
  <c r="G10" i="88" s="1"/>
  <c r="M9" i="88"/>
  <c r="P9" i="88" s="1"/>
  <c r="Q9" i="88" s="1"/>
  <c r="F9" i="88"/>
  <c r="E9" i="88"/>
  <c r="G9" i="88" s="1"/>
  <c r="M8" i="88"/>
  <c r="N8" i="88" s="1"/>
  <c r="F8" i="88"/>
  <c r="E8" i="88"/>
  <c r="M7" i="88"/>
  <c r="P7" i="88" s="1"/>
  <c r="Q7" i="88" s="1"/>
  <c r="F7" i="88"/>
  <c r="E7" i="88"/>
  <c r="G7" i="88" s="1"/>
  <c r="M6" i="88"/>
  <c r="P6" i="88" s="1"/>
  <c r="Q6" i="88" s="1"/>
  <c r="F6" i="88"/>
  <c r="E6" i="88"/>
  <c r="M5" i="88"/>
  <c r="P5" i="88" s="1"/>
  <c r="F5" i="88"/>
  <c r="E5" i="88"/>
  <c r="G5" i="88" s="1"/>
  <c r="P4" i="88"/>
  <c r="Q4" i="88" s="1"/>
  <c r="N4" i="88"/>
  <c r="M62" i="87"/>
  <c r="M61" i="87"/>
  <c r="M60" i="87"/>
  <c r="M59" i="87"/>
  <c r="M58" i="87"/>
  <c r="M57" i="87"/>
  <c r="M56" i="87"/>
  <c r="M55" i="87"/>
  <c r="M54" i="87"/>
  <c r="M53" i="87"/>
  <c r="R62" i="89" l="1"/>
  <c r="P62" i="89"/>
  <c r="N45" i="88"/>
  <c r="P57" i="88"/>
  <c r="Q57" i="88" s="1"/>
  <c r="P41" i="88"/>
  <c r="Q41" i="88" s="1"/>
  <c r="N37" i="88"/>
  <c r="P32" i="88"/>
  <c r="Q32" i="88" s="1"/>
  <c r="G11" i="88"/>
  <c r="G44" i="88"/>
  <c r="G49" i="88"/>
  <c r="N50" i="88"/>
  <c r="G53" i="88"/>
  <c r="G55" i="88"/>
  <c r="G60" i="88"/>
  <c r="G24" i="88"/>
  <c r="N14" i="88"/>
  <c r="G19" i="88"/>
  <c r="G32" i="88"/>
  <c r="N33" i="88"/>
  <c r="N49" i="88"/>
  <c r="G51" i="88"/>
  <c r="G45" i="88"/>
  <c r="N10" i="88"/>
  <c r="P40" i="88"/>
  <c r="Q40" i="88" s="1"/>
  <c r="G48" i="88"/>
  <c r="G8" i="88"/>
  <c r="G15" i="88"/>
  <c r="G20" i="88"/>
  <c r="G34" i="88"/>
  <c r="P45" i="88"/>
  <c r="P27" i="88"/>
  <c r="Q27" i="88" s="1"/>
  <c r="P26" i="88"/>
  <c r="Q26" i="88" s="1"/>
  <c r="N23" i="88"/>
  <c r="P18" i="88"/>
  <c r="Q18" i="88" s="1"/>
  <c r="P11" i="88"/>
  <c r="Q11" i="88" s="1"/>
  <c r="N9" i="88"/>
  <c r="N61" i="88"/>
  <c r="N6" i="88"/>
  <c r="G59" i="88"/>
  <c r="G14" i="88"/>
  <c r="G12" i="88"/>
  <c r="G18" i="88"/>
  <c r="G22" i="88"/>
  <c r="G26" i="88"/>
  <c r="G36" i="88"/>
  <c r="G40" i="88"/>
  <c r="G54" i="88"/>
  <c r="F64" i="88"/>
  <c r="G13" i="88"/>
  <c r="G17" i="88"/>
  <c r="P20" i="88"/>
  <c r="Q20" i="88" s="1"/>
  <c r="G28" i="88"/>
  <c r="G33" i="88"/>
  <c r="P34" i="88"/>
  <c r="Q34" i="88" s="1"/>
  <c r="G42" i="88"/>
  <c r="G50" i="88"/>
  <c r="G52" i="88"/>
  <c r="G6" i="88"/>
  <c r="G21" i="88"/>
  <c r="G27" i="88"/>
  <c r="P28" i="88"/>
  <c r="Q28" i="88" s="1"/>
  <c r="G35" i="88"/>
  <c r="G41" i="88"/>
  <c r="P42" i="88"/>
  <c r="Q42" i="88" s="1"/>
  <c r="M48" i="88"/>
  <c r="P48" i="88" s="1"/>
  <c r="Q48" i="88" s="1"/>
  <c r="G57" i="88"/>
  <c r="P58" i="88"/>
  <c r="Q58" i="88" s="1"/>
  <c r="G62" i="88"/>
  <c r="Q5" i="88"/>
  <c r="N39" i="88"/>
  <c r="N47" i="88"/>
  <c r="N56" i="88"/>
  <c r="E64" i="88"/>
  <c r="N7" i="88"/>
  <c r="P8" i="88"/>
  <c r="Q8" i="88" s="1"/>
  <c r="N15" i="88"/>
  <c r="P16" i="88"/>
  <c r="Q16" i="88" s="1"/>
  <c r="N24" i="88"/>
  <c r="P25" i="88"/>
  <c r="Q25" i="88" s="1"/>
  <c r="N30" i="88"/>
  <c r="P31" i="88"/>
  <c r="Q31" i="88" s="1"/>
  <c r="N46" i="88"/>
  <c r="N55" i="88"/>
  <c r="N5" i="88"/>
  <c r="N13" i="88"/>
  <c r="N22" i="88"/>
  <c r="N36" i="88"/>
  <c r="N44" i="88"/>
  <c r="N53" i="88"/>
  <c r="N62" i="88"/>
  <c r="N12" i="88"/>
  <c r="N21" i="88"/>
  <c r="N29" i="88"/>
  <c r="N35" i="88"/>
  <c r="N43" i="88"/>
  <c r="N52" i="88"/>
  <c r="N60" i="88"/>
  <c r="M19" i="88"/>
  <c r="N51" i="88"/>
  <c r="N59" i="88"/>
  <c r="H64" i="87"/>
  <c r="M39" i="87"/>
  <c r="L49" i="87"/>
  <c r="M64" i="88" l="1"/>
  <c r="Q45" i="88"/>
  <c r="Q64" i="88" s="1"/>
  <c r="P64" i="88"/>
  <c r="N48" i="88"/>
  <c r="G64" i="88"/>
  <c r="N19" i="88"/>
  <c r="N64" i="88" s="1"/>
  <c r="R64" i="88" s="1"/>
  <c r="P19" i="88"/>
  <c r="Q19" i="88" s="1"/>
  <c r="M10" i="87"/>
  <c r="M25" i="87" l="1"/>
  <c r="N25" i="87" s="1"/>
  <c r="K19" i="87"/>
  <c r="K64" i="87"/>
  <c r="L64" i="87"/>
  <c r="P61" i="87"/>
  <c r="Q61" i="87" s="1"/>
  <c r="F61" i="87"/>
  <c r="E61" i="87"/>
  <c r="J64" i="87"/>
  <c r="J65" i="87" s="1"/>
  <c r="I64" i="87"/>
  <c r="I65" i="87" s="1"/>
  <c r="D64" i="87"/>
  <c r="C64" i="87"/>
  <c r="N62" i="87"/>
  <c r="F62" i="87"/>
  <c r="E62" i="87"/>
  <c r="N60" i="87"/>
  <c r="G60" i="87"/>
  <c r="F60" i="87"/>
  <c r="E60" i="87"/>
  <c r="N59" i="87"/>
  <c r="F59" i="87"/>
  <c r="E59" i="87"/>
  <c r="P58" i="87"/>
  <c r="Q58" i="87" s="1"/>
  <c r="F58" i="87"/>
  <c r="E58" i="87"/>
  <c r="G58" i="87" s="1"/>
  <c r="P57" i="87"/>
  <c r="Q57" i="87" s="1"/>
  <c r="F57" i="87"/>
  <c r="E57" i="87"/>
  <c r="P56" i="87"/>
  <c r="Q56" i="87" s="1"/>
  <c r="F56" i="87"/>
  <c r="G56" i="87" s="1"/>
  <c r="E56" i="87"/>
  <c r="N55" i="87"/>
  <c r="F55" i="87"/>
  <c r="E55" i="87"/>
  <c r="N54" i="87"/>
  <c r="F54" i="87"/>
  <c r="E54" i="87"/>
  <c r="N53" i="87"/>
  <c r="F53" i="87"/>
  <c r="E53" i="87"/>
  <c r="M52" i="87"/>
  <c r="P52" i="87" s="1"/>
  <c r="Q52" i="87" s="1"/>
  <c r="F52" i="87"/>
  <c r="G52" i="87" s="1"/>
  <c r="E52" i="87"/>
  <c r="M51" i="87"/>
  <c r="N51" i="87" s="1"/>
  <c r="F51" i="87"/>
  <c r="E51" i="87"/>
  <c r="M50" i="87"/>
  <c r="P50" i="87" s="1"/>
  <c r="Q50" i="87" s="1"/>
  <c r="G50" i="87"/>
  <c r="F50" i="87"/>
  <c r="E50" i="87"/>
  <c r="M49" i="87"/>
  <c r="P49" i="87" s="1"/>
  <c r="Q49" i="87" s="1"/>
  <c r="F49" i="87"/>
  <c r="G49" i="87" s="1"/>
  <c r="E49" i="87"/>
  <c r="M48" i="87"/>
  <c r="P48" i="87" s="1"/>
  <c r="Q48" i="87" s="1"/>
  <c r="F48" i="87"/>
  <c r="E48" i="87"/>
  <c r="M47" i="87"/>
  <c r="N47" i="87" s="1"/>
  <c r="F47" i="87"/>
  <c r="E47" i="87"/>
  <c r="M46" i="87"/>
  <c r="P46" i="87" s="1"/>
  <c r="Q46" i="87" s="1"/>
  <c r="F46" i="87"/>
  <c r="E46" i="87"/>
  <c r="G46" i="87" s="1"/>
  <c r="M45" i="87"/>
  <c r="N45" i="87" s="1"/>
  <c r="F45" i="87"/>
  <c r="E45" i="87"/>
  <c r="M44" i="87"/>
  <c r="N44" i="87" s="1"/>
  <c r="F44" i="87"/>
  <c r="E44" i="87"/>
  <c r="M43" i="87"/>
  <c r="N43" i="87" s="1"/>
  <c r="F43" i="87"/>
  <c r="G43" i="87" s="1"/>
  <c r="E43" i="87"/>
  <c r="M42" i="87"/>
  <c r="P42" i="87" s="1"/>
  <c r="Q42" i="87" s="1"/>
  <c r="F42" i="87"/>
  <c r="E42" i="87"/>
  <c r="M41" i="87"/>
  <c r="N41" i="87" s="1"/>
  <c r="F41" i="87"/>
  <c r="G41" i="87" s="1"/>
  <c r="E41" i="87"/>
  <c r="M40" i="87"/>
  <c r="P40" i="87" s="1"/>
  <c r="Q40" i="87" s="1"/>
  <c r="F40" i="87"/>
  <c r="E40" i="87"/>
  <c r="G40" i="87" s="1"/>
  <c r="N39" i="87"/>
  <c r="F39" i="87"/>
  <c r="E39" i="87"/>
  <c r="M38" i="87"/>
  <c r="P38" i="87" s="1"/>
  <c r="Q38" i="87" s="1"/>
  <c r="F38" i="87"/>
  <c r="E38" i="87"/>
  <c r="M37" i="87"/>
  <c r="N37" i="87" s="1"/>
  <c r="F37" i="87"/>
  <c r="E37" i="87"/>
  <c r="M36" i="87"/>
  <c r="P36" i="87" s="1"/>
  <c r="Q36" i="87" s="1"/>
  <c r="F36" i="87"/>
  <c r="E36" i="87"/>
  <c r="M35" i="87"/>
  <c r="N35" i="87" s="1"/>
  <c r="F35" i="87"/>
  <c r="G35" i="87" s="1"/>
  <c r="E35" i="87"/>
  <c r="M34" i="87"/>
  <c r="P34" i="87" s="1"/>
  <c r="Q34" i="87" s="1"/>
  <c r="F34" i="87"/>
  <c r="E34" i="87"/>
  <c r="G34" i="87" s="1"/>
  <c r="M33" i="87"/>
  <c r="N33" i="87" s="1"/>
  <c r="F33" i="87"/>
  <c r="E33" i="87"/>
  <c r="M32" i="87"/>
  <c r="P32" i="87" s="1"/>
  <c r="Q32" i="87" s="1"/>
  <c r="F32" i="87"/>
  <c r="E32" i="87"/>
  <c r="G32" i="87" s="1"/>
  <c r="M31" i="87"/>
  <c r="N31" i="87" s="1"/>
  <c r="F31" i="87"/>
  <c r="E31" i="87"/>
  <c r="N30" i="87"/>
  <c r="F30" i="87"/>
  <c r="E30" i="87"/>
  <c r="G30" i="87" s="1"/>
  <c r="M29" i="87"/>
  <c r="N29" i="87" s="1"/>
  <c r="F29" i="87"/>
  <c r="E29" i="87"/>
  <c r="M28" i="87"/>
  <c r="P28" i="87" s="1"/>
  <c r="Q28" i="87" s="1"/>
  <c r="G28" i="87"/>
  <c r="F28" i="87"/>
  <c r="E28" i="87"/>
  <c r="M27" i="87"/>
  <c r="P27" i="87" s="1"/>
  <c r="Q27" i="87" s="1"/>
  <c r="F27" i="87"/>
  <c r="E27" i="87"/>
  <c r="M26" i="87"/>
  <c r="P26" i="87" s="1"/>
  <c r="Q26" i="87" s="1"/>
  <c r="F26" i="87"/>
  <c r="E26" i="87"/>
  <c r="F25" i="87"/>
  <c r="E25" i="87"/>
  <c r="M24" i="87"/>
  <c r="P24" i="87" s="1"/>
  <c r="Q24" i="87" s="1"/>
  <c r="F24" i="87"/>
  <c r="E24" i="87"/>
  <c r="M23" i="87"/>
  <c r="N23" i="87" s="1"/>
  <c r="F23" i="87"/>
  <c r="E23" i="87"/>
  <c r="M22" i="87"/>
  <c r="P22" i="87" s="1"/>
  <c r="Q22" i="87" s="1"/>
  <c r="F22" i="87"/>
  <c r="E22" i="87"/>
  <c r="M21" i="87"/>
  <c r="N21" i="87" s="1"/>
  <c r="F21" i="87"/>
  <c r="E21" i="87"/>
  <c r="M20" i="87"/>
  <c r="P20" i="87" s="1"/>
  <c r="Q20" i="87" s="1"/>
  <c r="F20" i="87"/>
  <c r="E20" i="87"/>
  <c r="M19" i="87"/>
  <c r="P19" i="87" s="1"/>
  <c r="Q19" i="87" s="1"/>
  <c r="F19" i="87"/>
  <c r="E19" i="87"/>
  <c r="G19" i="87" s="1"/>
  <c r="M18" i="87"/>
  <c r="P18" i="87" s="1"/>
  <c r="Q18" i="87" s="1"/>
  <c r="F18" i="87"/>
  <c r="E18" i="87"/>
  <c r="M17" i="87"/>
  <c r="P17" i="87" s="1"/>
  <c r="Q17" i="87" s="1"/>
  <c r="F17" i="87"/>
  <c r="E17" i="87"/>
  <c r="M16" i="87"/>
  <c r="N16" i="87" s="1"/>
  <c r="F16" i="87"/>
  <c r="E16" i="87"/>
  <c r="M15" i="87"/>
  <c r="P15" i="87" s="1"/>
  <c r="Q15" i="87" s="1"/>
  <c r="F15" i="87"/>
  <c r="E15" i="87"/>
  <c r="M14" i="87"/>
  <c r="N14" i="87" s="1"/>
  <c r="F14" i="87"/>
  <c r="E14" i="87"/>
  <c r="M13" i="87"/>
  <c r="P13" i="87" s="1"/>
  <c r="Q13" i="87" s="1"/>
  <c r="F13" i="87"/>
  <c r="G13" i="87" s="1"/>
  <c r="E13" i="87"/>
  <c r="M12" i="87"/>
  <c r="N12" i="87" s="1"/>
  <c r="F12" i="87"/>
  <c r="E12" i="87"/>
  <c r="M11" i="87"/>
  <c r="P11" i="87" s="1"/>
  <c r="Q11" i="87" s="1"/>
  <c r="F11" i="87"/>
  <c r="E11" i="87"/>
  <c r="P10" i="87"/>
  <c r="Q10" i="87" s="1"/>
  <c r="F10" i="87"/>
  <c r="E10" i="87"/>
  <c r="M9" i="87"/>
  <c r="P9" i="87" s="1"/>
  <c r="Q9" i="87" s="1"/>
  <c r="F9" i="87"/>
  <c r="E9" i="87"/>
  <c r="M8" i="87"/>
  <c r="N8" i="87" s="1"/>
  <c r="F8" i="87"/>
  <c r="E8" i="87"/>
  <c r="M7" i="87"/>
  <c r="P7" i="87" s="1"/>
  <c r="Q7" i="87" s="1"/>
  <c r="F7" i="87"/>
  <c r="E7" i="87"/>
  <c r="M6" i="87"/>
  <c r="N6" i="87" s="1"/>
  <c r="F6" i="87"/>
  <c r="E6" i="87"/>
  <c r="M5" i="87"/>
  <c r="P5" i="87" s="1"/>
  <c r="Q5" i="87" s="1"/>
  <c r="F5" i="87"/>
  <c r="E5" i="87"/>
  <c r="P4" i="87"/>
  <c r="N4" i="87"/>
  <c r="M40" i="86"/>
  <c r="M25" i="86"/>
  <c r="G27" i="87" l="1"/>
  <c r="G12" i="87"/>
  <c r="G62" i="87"/>
  <c r="G61" i="87"/>
  <c r="G36" i="87"/>
  <c r="G44" i="87"/>
  <c r="N5" i="87"/>
  <c r="P54" i="87"/>
  <c r="Q54" i="87" s="1"/>
  <c r="P16" i="87"/>
  <c r="Q16" i="87" s="1"/>
  <c r="P14" i="87"/>
  <c r="Q14" i="87" s="1"/>
  <c r="P6" i="87"/>
  <c r="Q6" i="87" s="1"/>
  <c r="N46" i="87"/>
  <c r="N58" i="87"/>
  <c r="P31" i="87"/>
  <c r="Q31" i="87" s="1"/>
  <c r="P44" i="87"/>
  <c r="Q44" i="87" s="1"/>
  <c r="P8" i="87"/>
  <c r="Q8" i="87" s="1"/>
  <c r="N15" i="87"/>
  <c r="N61" i="87"/>
  <c r="N11" i="87"/>
  <c r="N36" i="87"/>
  <c r="N52" i="87"/>
  <c r="G16" i="87"/>
  <c r="N20" i="87"/>
  <c r="N22" i="87"/>
  <c r="G37" i="87"/>
  <c r="G39" i="87"/>
  <c r="G42" i="87"/>
  <c r="P60" i="87"/>
  <c r="Q60" i="87" s="1"/>
  <c r="G23" i="87"/>
  <c r="G8" i="87"/>
  <c r="G15" i="87"/>
  <c r="G17" i="87"/>
  <c r="G31" i="87"/>
  <c r="P37" i="87"/>
  <c r="Q37" i="87" s="1"/>
  <c r="N42" i="87"/>
  <c r="P51" i="87"/>
  <c r="Q51" i="87" s="1"/>
  <c r="P55" i="87"/>
  <c r="Q55" i="87" s="1"/>
  <c r="P62" i="87"/>
  <c r="Q62" i="87" s="1"/>
  <c r="G11" i="87"/>
  <c r="G38" i="87"/>
  <c r="G45" i="87"/>
  <c r="G20" i="87"/>
  <c r="G22" i="87"/>
  <c r="P33" i="87"/>
  <c r="Q33" i="87" s="1"/>
  <c r="P30" i="87"/>
  <c r="Q30" i="87" s="1"/>
  <c r="F64" i="87"/>
  <c r="G14" i="87"/>
  <c r="G18" i="87"/>
  <c r="G25" i="87"/>
  <c r="G29" i="87"/>
  <c r="N32" i="87"/>
  <c r="N38" i="87"/>
  <c r="P45" i="87"/>
  <c r="Q45" i="87" s="1"/>
  <c r="G47" i="87"/>
  <c r="G51" i="87"/>
  <c r="P59" i="87"/>
  <c r="Q59" i="87" s="1"/>
  <c r="N7" i="87"/>
  <c r="N13" i="87"/>
  <c r="E64" i="87"/>
  <c r="G5" i="87"/>
  <c r="M64" i="87"/>
  <c r="G7" i="87"/>
  <c r="G9" i="87"/>
  <c r="P23" i="87"/>
  <c r="Q23" i="87" s="1"/>
  <c r="P25" i="87"/>
  <c r="Q25" i="87" s="1"/>
  <c r="G33" i="87"/>
  <c r="P47" i="87"/>
  <c r="Q47" i="87" s="1"/>
  <c r="G53" i="87"/>
  <c r="G24" i="87"/>
  <c r="G26" i="87"/>
  <c r="G48" i="87"/>
  <c r="N28" i="87"/>
  <c r="N50" i="87"/>
  <c r="P53" i="87"/>
  <c r="Q53" i="87" s="1"/>
  <c r="G55" i="87"/>
  <c r="G57" i="87"/>
  <c r="G6" i="87"/>
  <c r="G10" i="87"/>
  <c r="G21" i="87"/>
  <c r="N24" i="87"/>
  <c r="P39" i="87"/>
  <c r="Q39" i="87" s="1"/>
  <c r="G54" i="87"/>
  <c r="G59" i="87"/>
  <c r="Q4" i="87"/>
  <c r="N18" i="87"/>
  <c r="N19" i="87"/>
  <c r="N27" i="87"/>
  <c r="N49" i="87"/>
  <c r="N57" i="87"/>
  <c r="N26" i="87"/>
  <c r="N34" i="87"/>
  <c r="P35" i="87"/>
  <c r="Q35" i="87" s="1"/>
  <c r="N40" i="87"/>
  <c r="P41" i="87"/>
  <c r="Q41" i="87" s="1"/>
  <c r="N48" i="87"/>
  <c r="N56" i="87"/>
  <c r="P12" i="87"/>
  <c r="Q12" i="87" s="1"/>
  <c r="P21" i="87"/>
  <c r="Q21" i="87" s="1"/>
  <c r="P29" i="87"/>
  <c r="Q29" i="87" s="1"/>
  <c r="P43" i="87"/>
  <c r="Q43" i="87" s="1"/>
  <c r="N10" i="87"/>
  <c r="N9" i="87"/>
  <c r="N17" i="87"/>
  <c r="H64" i="86"/>
  <c r="N64" i="87" l="1"/>
  <c r="G64" i="87"/>
  <c r="Q64" i="87"/>
  <c r="P64" i="87"/>
  <c r="N40" i="86"/>
  <c r="M10" i="86"/>
  <c r="M61" i="86"/>
  <c r="N61" i="86" s="1"/>
  <c r="F61" i="86"/>
  <c r="E61" i="86"/>
  <c r="G61" i="86" s="1"/>
  <c r="M60" i="86"/>
  <c r="N60" i="86" s="1"/>
  <c r="F60" i="86"/>
  <c r="E60" i="86"/>
  <c r="G60" i="86" s="1"/>
  <c r="L64" i="86"/>
  <c r="J64" i="86"/>
  <c r="J65" i="86" s="1"/>
  <c r="I64" i="86"/>
  <c r="I65" i="86" s="1"/>
  <c r="D64" i="86"/>
  <c r="C64" i="86"/>
  <c r="M62" i="86"/>
  <c r="P62" i="86" s="1"/>
  <c r="Q62" i="86" s="1"/>
  <c r="F62" i="86"/>
  <c r="E62" i="86"/>
  <c r="M59" i="86"/>
  <c r="N59" i="86" s="1"/>
  <c r="F59" i="86"/>
  <c r="E59" i="86"/>
  <c r="M58" i="86"/>
  <c r="P58" i="86" s="1"/>
  <c r="Q58" i="86" s="1"/>
  <c r="F58" i="86"/>
  <c r="E58" i="86"/>
  <c r="M57" i="86"/>
  <c r="P57" i="86" s="1"/>
  <c r="Q57" i="86" s="1"/>
  <c r="F57" i="86"/>
  <c r="E57" i="86"/>
  <c r="G57" i="86" s="1"/>
  <c r="M56" i="86"/>
  <c r="N56" i="86" s="1"/>
  <c r="F56" i="86"/>
  <c r="E56" i="86"/>
  <c r="M55" i="86"/>
  <c r="P55" i="86" s="1"/>
  <c r="Q55" i="86" s="1"/>
  <c r="F55" i="86"/>
  <c r="E55" i="86"/>
  <c r="G55" i="86" s="1"/>
  <c r="M54" i="86"/>
  <c r="N54" i="86" s="1"/>
  <c r="F54" i="86"/>
  <c r="E54" i="86"/>
  <c r="M53" i="86"/>
  <c r="P53" i="86" s="1"/>
  <c r="Q53" i="86" s="1"/>
  <c r="F53" i="86"/>
  <c r="E53" i="86"/>
  <c r="G53" i="86" s="1"/>
  <c r="M52" i="86"/>
  <c r="P52" i="86" s="1"/>
  <c r="Q52" i="86" s="1"/>
  <c r="F52" i="86"/>
  <c r="E52" i="86"/>
  <c r="M51" i="86"/>
  <c r="N51" i="86" s="1"/>
  <c r="F51" i="86"/>
  <c r="E51" i="86"/>
  <c r="M50" i="86"/>
  <c r="P50" i="86" s="1"/>
  <c r="Q50" i="86" s="1"/>
  <c r="F50" i="86"/>
  <c r="E50" i="86"/>
  <c r="M49" i="86"/>
  <c r="N49" i="86" s="1"/>
  <c r="F49" i="86"/>
  <c r="E49" i="86"/>
  <c r="M48" i="86"/>
  <c r="N48" i="86" s="1"/>
  <c r="F48" i="86"/>
  <c r="E48" i="86"/>
  <c r="M47" i="86"/>
  <c r="P47" i="86" s="1"/>
  <c r="Q47" i="86" s="1"/>
  <c r="F47" i="86"/>
  <c r="E47" i="86"/>
  <c r="G47" i="86" s="1"/>
  <c r="M46" i="86"/>
  <c r="P46" i="86" s="1"/>
  <c r="Q46" i="86" s="1"/>
  <c r="F46" i="86"/>
  <c r="E46" i="86"/>
  <c r="M45" i="86"/>
  <c r="N45" i="86" s="1"/>
  <c r="F45" i="86"/>
  <c r="E45" i="86"/>
  <c r="G45" i="86" s="1"/>
  <c r="M44" i="86"/>
  <c r="P44" i="86" s="1"/>
  <c r="Q44" i="86" s="1"/>
  <c r="F44" i="86"/>
  <c r="E44" i="86"/>
  <c r="M43" i="86"/>
  <c r="N43" i="86" s="1"/>
  <c r="F43" i="86"/>
  <c r="E43" i="86"/>
  <c r="M42" i="86"/>
  <c r="P42" i="86" s="1"/>
  <c r="Q42" i="86" s="1"/>
  <c r="F42" i="86"/>
  <c r="E42" i="86"/>
  <c r="G42" i="86" s="1"/>
  <c r="M41" i="86"/>
  <c r="N41" i="86" s="1"/>
  <c r="F41" i="86"/>
  <c r="E41" i="86"/>
  <c r="F40" i="86"/>
  <c r="E40" i="86"/>
  <c r="M39" i="86"/>
  <c r="P39" i="86" s="1"/>
  <c r="Q39" i="86" s="1"/>
  <c r="F39" i="86"/>
  <c r="E39" i="86"/>
  <c r="G39" i="86" s="1"/>
  <c r="M38" i="86"/>
  <c r="P38" i="86" s="1"/>
  <c r="Q38" i="86" s="1"/>
  <c r="F38" i="86"/>
  <c r="E38" i="86"/>
  <c r="F37" i="86"/>
  <c r="E37" i="86"/>
  <c r="G37" i="86" s="1"/>
  <c r="M36" i="86"/>
  <c r="P36" i="86" s="1"/>
  <c r="Q36" i="86" s="1"/>
  <c r="F36" i="86"/>
  <c r="E36" i="86"/>
  <c r="M35" i="86"/>
  <c r="N35" i="86" s="1"/>
  <c r="F35" i="86"/>
  <c r="E35" i="86"/>
  <c r="M34" i="86"/>
  <c r="N34" i="86" s="1"/>
  <c r="G34" i="86"/>
  <c r="F34" i="86"/>
  <c r="E34" i="86"/>
  <c r="M33" i="86"/>
  <c r="N33" i="86" s="1"/>
  <c r="F33" i="86"/>
  <c r="E33" i="86"/>
  <c r="M32" i="86"/>
  <c r="N32" i="86" s="1"/>
  <c r="F32" i="86"/>
  <c r="E32" i="86"/>
  <c r="G32" i="86" s="1"/>
  <c r="M31" i="86"/>
  <c r="P31" i="86" s="1"/>
  <c r="Q31" i="86" s="1"/>
  <c r="F31" i="86"/>
  <c r="G31" i="86" s="1"/>
  <c r="E31" i="86"/>
  <c r="M30" i="86"/>
  <c r="P30" i="86" s="1"/>
  <c r="Q30" i="86" s="1"/>
  <c r="F30" i="86"/>
  <c r="E30" i="86"/>
  <c r="M29" i="86"/>
  <c r="N29" i="86" s="1"/>
  <c r="F29" i="86"/>
  <c r="E29" i="86"/>
  <c r="M28" i="86"/>
  <c r="P28" i="86" s="1"/>
  <c r="Q28" i="86" s="1"/>
  <c r="F28" i="86"/>
  <c r="E28" i="86"/>
  <c r="M27" i="86"/>
  <c r="N27" i="86" s="1"/>
  <c r="F27" i="86"/>
  <c r="E27" i="86"/>
  <c r="M26" i="86"/>
  <c r="P26" i="86" s="1"/>
  <c r="Q26" i="86" s="1"/>
  <c r="F26" i="86"/>
  <c r="E26" i="86"/>
  <c r="G26" i="86" s="1"/>
  <c r="P25" i="86"/>
  <c r="Q25" i="86" s="1"/>
  <c r="F25" i="86"/>
  <c r="E25" i="86"/>
  <c r="M24" i="86"/>
  <c r="N24" i="86" s="1"/>
  <c r="F24" i="86"/>
  <c r="E24" i="86"/>
  <c r="M23" i="86"/>
  <c r="P23" i="86" s="1"/>
  <c r="Q23" i="86" s="1"/>
  <c r="F23" i="86"/>
  <c r="G23" i="86" s="1"/>
  <c r="E23" i="86"/>
  <c r="M22" i="86"/>
  <c r="P22" i="86" s="1"/>
  <c r="Q22" i="86" s="1"/>
  <c r="F22" i="86"/>
  <c r="E22" i="86"/>
  <c r="M21" i="86"/>
  <c r="N21" i="86" s="1"/>
  <c r="F21" i="86"/>
  <c r="E21" i="86"/>
  <c r="G21" i="86" s="1"/>
  <c r="M20" i="86"/>
  <c r="P20" i="86" s="1"/>
  <c r="Q20" i="86" s="1"/>
  <c r="F20" i="86"/>
  <c r="E20" i="86"/>
  <c r="K19" i="86"/>
  <c r="M19" i="86" s="1"/>
  <c r="F19" i="86"/>
  <c r="E19" i="86"/>
  <c r="G19" i="86" s="1"/>
  <c r="M18" i="86"/>
  <c r="N18" i="86" s="1"/>
  <c r="G18" i="86"/>
  <c r="F18" i="86"/>
  <c r="E18" i="86"/>
  <c r="M17" i="86"/>
  <c r="N17" i="86" s="1"/>
  <c r="F17" i="86"/>
  <c r="E17" i="86"/>
  <c r="G17" i="86" s="1"/>
  <c r="M16" i="86"/>
  <c r="P16" i="86" s="1"/>
  <c r="Q16" i="86" s="1"/>
  <c r="F16" i="86"/>
  <c r="E16" i="86"/>
  <c r="M15" i="86"/>
  <c r="N15" i="86" s="1"/>
  <c r="F15" i="86"/>
  <c r="E15" i="86"/>
  <c r="G15" i="86" s="1"/>
  <c r="M14" i="86"/>
  <c r="P14" i="86" s="1"/>
  <c r="Q14" i="86" s="1"/>
  <c r="F14" i="86"/>
  <c r="E14" i="86"/>
  <c r="M13" i="86"/>
  <c r="P13" i="86" s="1"/>
  <c r="Q13" i="86" s="1"/>
  <c r="F13" i="86"/>
  <c r="E13" i="86"/>
  <c r="M12" i="86"/>
  <c r="N12" i="86" s="1"/>
  <c r="F12" i="86"/>
  <c r="E12" i="86"/>
  <c r="M11" i="86"/>
  <c r="P11" i="86" s="1"/>
  <c r="Q11" i="86" s="1"/>
  <c r="F11" i="86"/>
  <c r="E11" i="86"/>
  <c r="G11" i="86" s="1"/>
  <c r="K64" i="86"/>
  <c r="F10" i="86"/>
  <c r="E10" i="86"/>
  <c r="M9" i="86"/>
  <c r="N9" i="86" s="1"/>
  <c r="F9" i="86"/>
  <c r="E9" i="86"/>
  <c r="G9" i="86" s="1"/>
  <c r="M8" i="86"/>
  <c r="P8" i="86" s="1"/>
  <c r="Q8" i="86" s="1"/>
  <c r="F8" i="86"/>
  <c r="E8" i="86"/>
  <c r="M7" i="86"/>
  <c r="N7" i="86" s="1"/>
  <c r="F7" i="86"/>
  <c r="E7" i="86"/>
  <c r="M6" i="86"/>
  <c r="N6" i="86" s="1"/>
  <c r="F6" i="86"/>
  <c r="E6" i="86"/>
  <c r="G6" i="86" s="1"/>
  <c r="M5" i="86"/>
  <c r="P5" i="86" s="1"/>
  <c r="Q5" i="86" s="1"/>
  <c r="F5" i="86"/>
  <c r="E5" i="86"/>
  <c r="P4" i="86"/>
  <c r="Q4" i="86" s="1"/>
  <c r="N4" i="86"/>
  <c r="M10" i="84"/>
  <c r="R64" i="87" l="1"/>
  <c r="N37" i="86"/>
  <c r="M64" i="86"/>
  <c r="N50" i="86"/>
  <c r="N42" i="86"/>
  <c r="P18" i="86"/>
  <c r="Q18" i="86" s="1"/>
  <c r="P43" i="86"/>
  <c r="Q43" i="86" s="1"/>
  <c r="P12" i="86"/>
  <c r="Q12" i="86" s="1"/>
  <c r="P34" i="86"/>
  <c r="Q34" i="86" s="1"/>
  <c r="P35" i="86"/>
  <c r="Q35" i="86" s="1"/>
  <c r="P29" i="86"/>
  <c r="Q29" i="86" s="1"/>
  <c r="N62" i="86"/>
  <c r="P61" i="86"/>
  <c r="Q61" i="86" s="1"/>
  <c r="P60" i="86"/>
  <c r="Q60" i="86" s="1"/>
  <c r="N19" i="86"/>
  <c r="P19" i="86"/>
  <c r="Q19" i="86" s="1"/>
  <c r="G51" i="86"/>
  <c r="P27" i="86"/>
  <c r="Q27" i="86" s="1"/>
  <c r="G54" i="86"/>
  <c r="N8" i="86"/>
  <c r="G16" i="86"/>
  <c r="P21" i="86"/>
  <c r="Q21" i="86" s="1"/>
  <c r="G24" i="86"/>
  <c r="G43" i="86"/>
  <c r="G50" i="86"/>
  <c r="G59" i="86"/>
  <c r="G12" i="86"/>
  <c r="G14" i="86"/>
  <c r="N26" i="86"/>
  <c r="G35" i="86"/>
  <c r="P45" i="86"/>
  <c r="Q45" i="86" s="1"/>
  <c r="G48" i="86"/>
  <c r="N57" i="86"/>
  <c r="G62" i="86"/>
  <c r="F64" i="86"/>
  <c r="G27" i="86"/>
  <c r="P37" i="86"/>
  <c r="Q37" i="86" s="1"/>
  <c r="G40" i="86"/>
  <c r="G56" i="86"/>
  <c r="G58" i="86"/>
  <c r="N25" i="86"/>
  <c r="G30" i="86"/>
  <c r="P17" i="86"/>
  <c r="Q17" i="86" s="1"/>
  <c r="N44" i="86"/>
  <c r="P7" i="86"/>
  <c r="Q7" i="86" s="1"/>
  <c r="G13" i="86"/>
  <c r="N16" i="86"/>
  <c r="N22" i="86"/>
  <c r="G29" i="86"/>
  <c r="N30" i="86"/>
  <c r="N38" i="86"/>
  <c r="N46" i="86"/>
  <c r="P59" i="86"/>
  <c r="Q59" i="86" s="1"/>
  <c r="P49" i="86"/>
  <c r="Q49" i="86" s="1"/>
  <c r="P54" i="86"/>
  <c r="Q54" i="86" s="1"/>
  <c r="G5" i="86"/>
  <c r="G22" i="86"/>
  <c r="P33" i="86"/>
  <c r="Q33" i="86" s="1"/>
  <c r="G8" i="86"/>
  <c r="P9" i="86"/>
  <c r="Q9" i="86" s="1"/>
  <c r="N13" i="86"/>
  <c r="P51" i="86"/>
  <c r="Q51" i="86" s="1"/>
  <c r="N53" i="86"/>
  <c r="N58" i="86"/>
  <c r="G38" i="86"/>
  <c r="N20" i="86"/>
  <c r="N28" i="86"/>
  <c r="N36" i="86"/>
  <c r="P41" i="86"/>
  <c r="Q41" i="86" s="1"/>
  <c r="G25" i="86"/>
  <c r="G33" i="86"/>
  <c r="G41" i="86"/>
  <c r="G49" i="86"/>
  <c r="G46" i="86"/>
  <c r="E64" i="86"/>
  <c r="G7" i="86"/>
  <c r="G64" i="86" s="1"/>
  <c r="G10" i="86"/>
  <c r="G20" i="86"/>
  <c r="G28" i="86"/>
  <c r="G36" i="86"/>
  <c r="G44" i="86"/>
  <c r="G52" i="86"/>
  <c r="N5" i="86"/>
  <c r="P6" i="86"/>
  <c r="Q6" i="86" s="1"/>
  <c r="N14" i="86"/>
  <c r="P15" i="86"/>
  <c r="Q15" i="86" s="1"/>
  <c r="N23" i="86"/>
  <c r="P24" i="86"/>
  <c r="Q24" i="86" s="1"/>
  <c r="N31" i="86"/>
  <c r="P32" i="86"/>
  <c r="Q32" i="86" s="1"/>
  <c r="N39" i="86"/>
  <c r="P40" i="86"/>
  <c r="Q40" i="86" s="1"/>
  <c r="N47" i="86"/>
  <c r="P48" i="86"/>
  <c r="Q48" i="86" s="1"/>
  <c r="N55" i="86"/>
  <c r="P56" i="86"/>
  <c r="Q56" i="86" s="1"/>
  <c r="N52" i="86"/>
  <c r="N11" i="86"/>
  <c r="M40" i="84"/>
  <c r="H62" i="84"/>
  <c r="P10" i="86" l="1"/>
  <c r="Q10" i="86" s="1"/>
  <c r="Q64" i="86" s="1"/>
  <c r="N10" i="86"/>
  <c r="N64" i="86" s="1"/>
  <c r="K10" i="84"/>
  <c r="K19" i="84"/>
  <c r="P40" i="84"/>
  <c r="Q40" i="84" s="1"/>
  <c r="L62" i="84"/>
  <c r="K62" i="84"/>
  <c r="J62" i="84"/>
  <c r="J63" i="84" s="1"/>
  <c r="I62" i="84"/>
  <c r="I63" i="84" s="1"/>
  <c r="D62" i="84"/>
  <c r="C62" i="84"/>
  <c r="M60" i="84"/>
  <c r="P60" i="84" s="1"/>
  <c r="Q60" i="84" s="1"/>
  <c r="F60" i="84"/>
  <c r="E60" i="84"/>
  <c r="G60" i="84" s="1"/>
  <c r="M59" i="84"/>
  <c r="N59" i="84" s="1"/>
  <c r="G59" i="84"/>
  <c r="F59" i="84"/>
  <c r="E59" i="84"/>
  <c r="M58" i="84"/>
  <c r="P58" i="84" s="1"/>
  <c r="Q58" i="84" s="1"/>
  <c r="F58" i="84"/>
  <c r="G58" i="84" s="1"/>
  <c r="E58" i="84"/>
  <c r="M57" i="84"/>
  <c r="P57" i="84" s="1"/>
  <c r="Q57" i="84" s="1"/>
  <c r="F57" i="84"/>
  <c r="E57" i="84"/>
  <c r="G57" i="84" s="1"/>
  <c r="M56" i="84"/>
  <c r="N56" i="84" s="1"/>
  <c r="G56" i="84"/>
  <c r="F56" i="84"/>
  <c r="E56" i="84"/>
  <c r="M55" i="84"/>
  <c r="P55" i="84" s="1"/>
  <c r="Q55" i="84" s="1"/>
  <c r="G55" i="84"/>
  <c r="F55" i="84"/>
  <c r="E55" i="84"/>
  <c r="M54" i="84"/>
  <c r="N54" i="84" s="1"/>
  <c r="F54" i="84"/>
  <c r="E54" i="84"/>
  <c r="G54" i="84" s="1"/>
  <c r="M53" i="84"/>
  <c r="P53" i="84" s="1"/>
  <c r="Q53" i="84" s="1"/>
  <c r="F53" i="84"/>
  <c r="E53" i="84"/>
  <c r="G53" i="84" s="1"/>
  <c r="M52" i="84"/>
  <c r="P52" i="84" s="1"/>
  <c r="Q52" i="84" s="1"/>
  <c r="F52" i="84"/>
  <c r="E52" i="84"/>
  <c r="G52" i="84" s="1"/>
  <c r="M51" i="84"/>
  <c r="N51" i="84" s="1"/>
  <c r="G51" i="84"/>
  <c r="F51" i="84"/>
  <c r="E51" i="84"/>
  <c r="M50" i="84"/>
  <c r="P50" i="84" s="1"/>
  <c r="Q50" i="84" s="1"/>
  <c r="F50" i="84"/>
  <c r="G50" i="84" s="1"/>
  <c r="E50" i="84"/>
  <c r="M49" i="84"/>
  <c r="P49" i="84" s="1"/>
  <c r="Q49" i="84" s="1"/>
  <c r="F49" i="84"/>
  <c r="E49" i="84"/>
  <c r="G49" i="84" s="1"/>
  <c r="M48" i="84"/>
  <c r="P48" i="84" s="1"/>
  <c r="Q48" i="84" s="1"/>
  <c r="G48" i="84"/>
  <c r="F48" i="84"/>
  <c r="E48" i="84"/>
  <c r="M47" i="84"/>
  <c r="P47" i="84" s="1"/>
  <c r="Q47" i="84" s="1"/>
  <c r="G47" i="84"/>
  <c r="F47" i="84"/>
  <c r="E47" i="84"/>
  <c r="M46" i="84"/>
  <c r="N46" i="84" s="1"/>
  <c r="F46" i="84"/>
  <c r="E46" i="84"/>
  <c r="G46" i="84" s="1"/>
  <c r="M45" i="84"/>
  <c r="P45" i="84" s="1"/>
  <c r="Q45" i="84" s="1"/>
  <c r="F45" i="84"/>
  <c r="E45" i="84"/>
  <c r="G45" i="84" s="1"/>
  <c r="M44" i="84"/>
  <c r="P44" i="84" s="1"/>
  <c r="Q44" i="84" s="1"/>
  <c r="F44" i="84"/>
  <c r="E44" i="84"/>
  <c r="G44" i="84" s="1"/>
  <c r="M43" i="84"/>
  <c r="N43" i="84" s="1"/>
  <c r="G43" i="84"/>
  <c r="F43" i="84"/>
  <c r="E43" i="84"/>
  <c r="P42" i="84"/>
  <c r="Q42" i="84" s="1"/>
  <c r="M42" i="84"/>
  <c r="N42" i="84" s="1"/>
  <c r="F42" i="84"/>
  <c r="G42" i="84" s="1"/>
  <c r="E42" i="84"/>
  <c r="M41" i="84"/>
  <c r="P41" i="84" s="1"/>
  <c r="Q41" i="84" s="1"/>
  <c r="F41" i="84"/>
  <c r="E41" i="84"/>
  <c r="G41" i="84" s="1"/>
  <c r="G40" i="84"/>
  <c r="F40" i="84"/>
  <c r="E40" i="84"/>
  <c r="M39" i="84"/>
  <c r="P39" i="84" s="1"/>
  <c r="Q39" i="84" s="1"/>
  <c r="G39" i="84"/>
  <c r="F39" i="84"/>
  <c r="E39" i="84"/>
  <c r="M38" i="84"/>
  <c r="N38" i="84" s="1"/>
  <c r="F38" i="84"/>
  <c r="E38" i="84"/>
  <c r="G38" i="84" s="1"/>
  <c r="M37" i="84"/>
  <c r="P37" i="84" s="1"/>
  <c r="Q37" i="84" s="1"/>
  <c r="F37" i="84"/>
  <c r="E37" i="84"/>
  <c r="G37" i="84" s="1"/>
  <c r="M36" i="84"/>
  <c r="P36" i="84" s="1"/>
  <c r="Q36" i="84" s="1"/>
  <c r="F36" i="84"/>
  <c r="E36" i="84"/>
  <c r="G36" i="84" s="1"/>
  <c r="M35" i="84"/>
  <c r="N35" i="84" s="1"/>
  <c r="G35" i="84"/>
  <c r="F35" i="84"/>
  <c r="E35" i="84"/>
  <c r="M34" i="84"/>
  <c r="P34" i="84" s="1"/>
  <c r="Q34" i="84" s="1"/>
  <c r="F34" i="84"/>
  <c r="G34" i="84" s="1"/>
  <c r="E34" i="84"/>
  <c r="M33" i="84"/>
  <c r="P33" i="84" s="1"/>
  <c r="Q33" i="84" s="1"/>
  <c r="F33" i="84"/>
  <c r="E33" i="84"/>
  <c r="G33" i="84" s="1"/>
  <c r="M32" i="84"/>
  <c r="P32" i="84" s="1"/>
  <c r="Q32" i="84" s="1"/>
  <c r="G32" i="84"/>
  <c r="F32" i="84"/>
  <c r="E32" i="84"/>
  <c r="M31" i="84"/>
  <c r="P31" i="84" s="1"/>
  <c r="Q31" i="84" s="1"/>
  <c r="G31" i="84"/>
  <c r="F31" i="84"/>
  <c r="E31" i="84"/>
  <c r="M30" i="84"/>
  <c r="N30" i="84" s="1"/>
  <c r="F30" i="84"/>
  <c r="E30" i="84"/>
  <c r="G30" i="84" s="1"/>
  <c r="M29" i="84"/>
  <c r="P29" i="84" s="1"/>
  <c r="Q29" i="84" s="1"/>
  <c r="F29" i="84"/>
  <c r="E29" i="84"/>
  <c r="G29" i="84" s="1"/>
  <c r="M28" i="84"/>
  <c r="P28" i="84" s="1"/>
  <c r="Q28" i="84" s="1"/>
  <c r="F28" i="84"/>
  <c r="E28" i="84"/>
  <c r="G28" i="84" s="1"/>
  <c r="M27" i="84"/>
  <c r="N27" i="84" s="1"/>
  <c r="G27" i="84"/>
  <c r="F27" i="84"/>
  <c r="E27" i="84"/>
  <c r="M26" i="84"/>
  <c r="P26" i="84" s="1"/>
  <c r="Q26" i="84" s="1"/>
  <c r="F26" i="84"/>
  <c r="G26" i="84" s="1"/>
  <c r="E26" i="84"/>
  <c r="M25" i="84"/>
  <c r="P25" i="84" s="1"/>
  <c r="Q25" i="84" s="1"/>
  <c r="F25" i="84"/>
  <c r="E25" i="84"/>
  <c r="G25" i="84" s="1"/>
  <c r="M24" i="84"/>
  <c r="P24" i="84" s="1"/>
  <c r="Q24" i="84" s="1"/>
  <c r="G24" i="84"/>
  <c r="F24" i="84"/>
  <c r="E24" i="84"/>
  <c r="M23" i="84"/>
  <c r="P23" i="84" s="1"/>
  <c r="Q23" i="84" s="1"/>
  <c r="G23" i="84"/>
  <c r="F23" i="84"/>
  <c r="E23" i="84"/>
  <c r="M22" i="84"/>
  <c r="N22" i="84" s="1"/>
  <c r="F22" i="84"/>
  <c r="E22" i="84"/>
  <c r="G22" i="84" s="1"/>
  <c r="M21" i="84"/>
  <c r="P21" i="84" s="1"/>
  <c r="Q21" i="84" s="1"/>
  <c r="F21" i="84"/>
  <c r="E21" i="84"/>
  <c r="G21" i="84" s="1"/>
  <c r="M20" i="84"/>
  <c r="P20" i="84" s="1"/>
  <c r="Q20" i="84" s="1"/>
  <c r="F20" i="84"/>
  <c r="E20" i="84"/>
  <c r="G20" i="84" s="1"/>
  <c r="M19" i="84"/>
  <c r="N19" i="84" s="1"/>
  <c r="G19" i="84"/>
  <c r="F19" i="84"/>
  <c r="E19" i="84"/>
  <c r="M18" i="84"/>
  <c r="N18" i="84" s="1"/>
  <c r="F18" i="84"/>
  <c r="G18" i="84" s="1"/>
  <c r="E18" i="84"/>
  <c r="M17" i="84"/>
  <c r="P17" i="84" s="1"/>
  <c r="Q17" i="84" s="1"/>
  <c r="F17" i="84"/>
  <c r="E17" i="84"/>
  <c r="G17" i="84" s="1"/>
  <c r="M16" i="84"/>
  <c r="P16" i="84" s="1"/>
  <c r="Q16" i="84" s="1"/>
  <c r="G16" i="84"/>
  <c r="F16" i="84"/>
  <c r="E16" i="84"/>
  <c r="M15" i="84"/>
  <c r="P15" i="84" s="1"/>
  <c r="Q15" i="84" s="1"/>
  <c r="F15" i="84"/>
  <c r="G15" i="84" s="1"/>
  <c r="E15" i="84"/>
  <c r="M14" i="84"/>
  <c r="N14" i="84" s="1"/>
  <c r="F14" i="84"/>
  <c r="E14" i="84"/>
  <c r="G14" i="84" s="1"/>
  <c r="M13" i="84"/>
  <c r="P13" i="84" s="1"/>
  <c r="Q13" i="84" s="1"/>
  <c r="F13" i="84"/>
  <c r="E13" i="84"/>
  <c r="G13" i="84" s="1"/>
  <c r="M12" i="84"/>
  <c r="P12" i="84" s="1"/>
  <c r="Q12" i="84" s="1"/>
  <c r="F12" i="84"/>
  <c r="E12" i="84"/>
  <c r="G12" i="84" s="1"/>
  <c r="M11" i="84"/>
  <c r="N11" i="84" s="1"/>
  <c r="G11" i="84"/>
  <c r="F11" i="84"/>
  <c r="E11" i="84"/>
  <c r="P10" i="84"/>
  <c r="Q10" i="84" s="1"/>
  <c r="F10" i="84"/>
  <c r="G10" i="84" s="1"/>
  <c r="E10" i="84"/>
  <c r="M9" i="84"/>
  <c r="N9" i="84" s="1"/>
  <c r="F9" i="84"/>
  <c r="E9" i="84"/>
  <c r="G9" i="84" s="1"/>
  <c r="M8" i="84"/>
  <c r="N8" i="84" s="1"/>
  <c r="G8" i="84"/>
  <c r="F8" i="84"/>
  <c r="E8" i="84"/>
  <c r="M7" i="84"/>
  <c r="P7" i="84" s="1"/>
  <c r="Q7" i="84" s="1"/>
  <c r="F7" i="84"/>
  <c r="G7" i="84" s="1"/>
  <c r="E7" i="84"/>
  <c r="M6" i="84"/>
  <c r="N6" i="84" s="1"/>
  <c r="F6" i="84"/>
  <c r="E6" i="84"/>
  <c r="G6" i="84" s="1"/>
  <c r="M5" i="84"/>
  <c r="N5" i="84" s="1"/>
  <c r="F5" i="84"/>
  <c r="F62" i="84" s="1"/>
  <c r="E5" i="84"/>
  <c r="E62" i="84" s="1"/>
  <c r="Q4" i="84"/>
  <c r="P4" i="84"/>
  <c r="N4" i="84"/>
  <c r="M40" i="83"/>
  <c r="R64" i="86" l="1"/>
  <c r="P64" i="86"/>
  <c r="N50" i="84"/>
  <c r="P38" i="84"/>
  <c r="Q38" i="84" s="1"/>
  <c r="P46" i="84"/>
  <c r="Q46" i="84" s="1"/>
  <c r="N37" i="84"/>
  <c r="P35" i="84"/>
  <c r="Q35" i="84" s="1"/>
  <c r="N29" i="84"/>
  <c r="P27" i="84"/>
  <c r="Q27" i="84" s="1"/>
  <c r="P18" i="84"/>
  <c r="Q18" i="84" s="1"/>
  <c r="N17" i="84"/>
  <c r="P14" i="84"/>
  <c r="Q14" i="84" s="1"/>
  <c r="N13" i="84"/>
  <c r="P6" i="84"/>
  <c r="Q6" i="84" s="1"/>
  <c r="N33" i="84"/>
  <c r="P51" i="84"/>
  <c r="Q51" i="84" s="1"/>
  <c r="N53" i="84"/>
  <c r="M62" i="84"/>
  <c r="P22" i="84"/>
  <c r="Q22" i="84" s="1"/>
  <c r="N26" i="84"/>
  <c r="N57" i="84"/>
  <c r="N21" i="84"/>
  <c r="P30" i="84"/>
  <c r="Q30" i="84" s="1"/>
  <c r="N34" i="84"/>
  <c r="N10" i="84"/>
  <c r="N25" i="84"/>
  <c r="P43" i="84"/>
  <c r="Q43" i="84" s="1"/>
  <c r="N45" i="84"/>
  <c r="P54" i="84"/>
  <c r="Q54" i="84" s="1"/>
  <c r="N58" i="84"/>
  <c r="P5" i="84"/>
  <c r="Q5" i="84" s="1"/>
  <c r="P11" i="84"/>
  <c r="Q11" i="84" s="1"/>
  <c r="N41" i="84"/>
  <c r="P59" i="84"/>
  <c r="Q59" i="84" s="1"/>
  <c r="P19" i="84"/>
  <c r="Q19" i="84" s="1"/>
  <c r="N49" i="84"/>
  <c r="P9" i="84"/>
  <c r="Q9" i="84" s="1"/>
  <c r="N16" i="84"/>
  <c r="N24" i="84"/>
  <c r="N32" i="84"/>
  <c r="N40" i="84"/>
  <c r="N48" i="84"/>
  <c r="G5" i="84"/>
  <c r="G62" i="84" s="1"/>
  <c r="N7" i="84"/>
  <c r="P8" i="84"/>
  <c r="Q8" i="84" s="1"/>
  <c r="N15" i="84"/>
  <c r="N23" i="84"/>
  <c r="N31" i="84"/>
  <c r="N39" i="84"/>
  <c r="N47" i="84"/>
  <c r="N55" i="84"/>
  <c r="P56" i="84"/>
  <c r="Q56" i="84" s="1"/>
  <c r="N12" i="84"/>
  <c r="N20" i="84"/>
  <c r="N28" i="84"/>
  <c r="N36" i="84"/>
  <c r="N44" i="84"/>
  <c r="N52" i="84"/>
  <c r="N60" i="84"/>
  <c r="M42" i="83"/>
  <c r="N40" i="83"/>
  <c r="M59" i="83"/>
  <c r="P59" i="83" s="1"/>
  <c r="Q59" i="83" s="1"/>
  <c r="G59" i="83"/>
  <c r="F59" i="83"/>
  <c r="E59" i="83"/>
  <c r="L62" i="83"/>
  <c r="K62" i="83"/>
  <c r="J62" i="83"/>
  <c r="J63" i="83" s="1"/>
  <c r="I62" i="83"/>
  <c r="I63" i="83" s="1"/>
  <c r="H62" i="83"/>
  <c r="D62" i="83"/>
  <c r="C62" i="83"/>
  <c r="M60" i="83"/>
  <c r="P60" i="83" s="1"/>
  <c r="Q60" i="83" s="1"/>
  <c r="F60" i="83"/>
  <c r="E60" i="83"/>
  <c r="G60" i="83" s="1"/>
  <c r="M58" i="83"/>
  <c r="P58" i="83" s="1"/>
  <c r="Q58" i="83" s="1"/>
  <c r="F58" i="83"/>
  <c r="E58" i="83"/>
  <c r="G58" i="83" s="1"/>
  <c r="M57" i="83"/>
  <c r="P57" i="83" s="1"/>
  <c r="Q57" i="83" s="1"/>
  <c r="F57" i="83"/>
  <c r="E57" i="83"/>
  <c r="G57" i="83" s="1"/>
  <c r="M56" i="83"/>
  <c r="N56" i="83" s="1"/>
  <c r="F56" i="83"/>
  <c r="G56" i="83" s="1"/>
  <c r="E56" i="83"/>
  <c r="M55" i="83"/>
  <c r="P55" i="83" s="1"/>
  <c r="Q55" i="83" s="1"/>
  <c r="F55" i="83"/>
  <c r="E55" i="83"/>
  <c r="M54" i="83"/>
  <c r="P54" i="83" s="1"/>
  <c r="Q54" i="83" s="1"/>
  <c r="F54" i="83"/>
  <c r="E54" i="83"/>
  <c r="M53" i="83"/>
  <c r="P53" i="83" s="1"/>
  <c r="Q53" i="83" s="1"/>
  <c r="F53" i="83"/>
  <c r="E53" i="83"/>
  <c r="G53" i="83" s="1"/>
  <c r="M52" i="83"/>
  <c r="P52" i="83" s="1"/>
  <c r="Q52" i="83" s="1"/>
  <c r="F52" i="83"/>
  <c r="E52" i="83"/>
  <c r="M51" i="83"/>
  <c r="P51" i="83" s="1"/>
  <c r="Q51" i="83" s="1"/>
  <c r="F51" i="83"/>
  <c r="E51" i="83"/>
  <c r="G51" i="83" s="1"/>
  <c r="M50" i="83"/>
  <c r="P50" i="83" s="1"/>
  <c r="Q50" i="83" s="1"/>
  <c r="F50" i="83"/>
  <c r="E50" i="83"/>
  <c r="G50" i="83" s="1"/>
  <c r="M49" i="83"/>
  <c r="P49" i="83" s="1"/>
  <c r="Q49" i="83" s="1"/>
  <c r="F49" i="83"/>
  <c r="E49" i="83"/>
  <c r="G49" i="83" s="1"/>
  <c r="M48" i="83"/>
  <c r="N48" i="83" s="1"/>
  <c r="F48" i="83"/>
  <c r="E48" i="83"/>
  <c r="M47" i="83"/>
  <c r="P47" i="83" s="1"/>
  <c r="Q47" i="83" s="1"/>
  <c r="F47" i="83"/>
  <c r="E47" i="83"/>
  <c r="M46" i="83"/>
  <c r="P46" i="83" s="1"/>
  <c r="Q46" i="83" s="1"/>
  <c r="F46" i="83"/>
  <c r="E46" i="83"/>
  <c r="G46" i="83" s="1"/>
  <c r="M45" i="83"/>
  <c r="P45" i="83" s="1"/>
  <c r="Q45" i="83" s="1"/>
  <c r="F45" i="83"/>
  <c r="E45" i="83"/>
  <c r="G45" i="83" s="1"/>
  <c r="M44" i="83"/>
  <c r="P44" i="83" s="1"/>
  <c r="Q44" i="83" s="1"/>
  <c r="F44" i="83"/>
  <c r="E44" i="83"/>
  <c r="M43" i="83"/>
  <c r="N43" i="83" s="1"/>
  <c r="F43" i="83"/>
  <c r="E43" i="83"/>
  <c r="G43" i="83" s="1"/>
  <c r="P42" i="83"/>
  <c r="Q42" i="83" s="1"/>
  <c r="F42" i="83"/>
  <c r="E42" i="83"/>
  <c r="M41" i="83"/>
  <c r="P41" i="83" s="1"/>
  <c r="Q41" i="83" s="1"/>
  <c r="F41" i="83"/>
  <c r="E41" i="83"/>
  <c r="G41" i="83" s="1"/>
  <c r="F40" i="83"/>
  <c r="E40" i="83"/>
  <c r="P39" i="83"/>
  <c r="Q39" i="83" s="1"/>
  <c r="M39" i="83"/>
  <c r="N39" i="83" s="1"/>
  <c r="F39" i="83"/>
  <c r="E39" i="83"/>
  <c r="G39" i="83" s="1"/>
  <c r="M38" i="83"/>
  <c r="P38" i="83" s="1"/>
  <c r="Q38" i="83" s="1"/>
  <c r="F38" i="83"/>
  <c r="E38" i="83"/>
  <c r="G38" i="83" s="1"/>
  <c r="M37" i="83"/>
  <c r="P37" i="83" s="1"/>
  <c r="Q37" i="83" s="1"/>
  <c r="F37" i="83"/>
  <c r="E37" i="83"/>
  <c r="G37" i="83" s="1"/>
  <c r="M36" i="83"/>
  <c r="N36" i="83" s="1"/>
  <c r="F36" i="83"/>
  <c r="E36" i="83"/>
  <c r="M35" i="83"/>
  <c r="P35" i="83" s="1"/>
  <c r="Q35" i="83" s="1"/>
  <c r="F35" i="83"/>
  <c r="E35" i="83"/>
  <c r="G35" i="83" s="1"/>
  <c r="M34" i="83"/>
  <c r="P34" i="83" s="1"/>
  <c r="Q34" i="83" s="1"/>
  <c r="F34" i="83"/>
  <c r="E34" i="83"/>
  <c r="G34" i="83" s="1"/>
  <c r="M33" i="83"/>
  <c r="P33" i="83" s="1"/>
  <c r="Q33" i="83" s="1"/>
  <c r="F33" i="83"/>
  <c r="E33" i="83"/>
  <c r="G33" i="83" s="1"/>
  <c r="M32" i="83"/>
  <c r="N32" i="83" s="1"/>
  <c r="F32" i="83"/>
  <c r="E32" i="83"/>
  <c r="G32" i="83" s="1"/>
  <c r="M31" i="83"/>
  <c r="P31" i="83" s="1"/>
  <c r="Q31" i="83" s="1"/>
  <c r="F31" i="83"/>
  <c r="E31" i="83"/>
  <c r="G31" i="83" s="1"/>
  <c r="M30" i="83"/>
  <c r="P30" i="83" s="1"/>
  <c r="Q30" i="83" s="1"/>
  <c r="F30" i="83"/>
  <c r="E30" i="83"/>
  <c r="G30" i="83" s="1"/>
  <c r="M29" i="83"/>
  <c r="P29" i="83" s="1"/>
  <c r="Q29" i="83" s="1"/>
  <c r="F29" i="83"/>
  <c r="E29" i="83"/>
  <c r="G29" i="83" s="1"/>
  <c r="M28" i="83"/>
  <c r="P28" i="83" s="1"/>
  <c r="Q28" i="83" s="1"/>
  <c r="F28" i="83"/>
  <c r="G28" i="83" s="1"/>
  <c r="E28" i="83"/>
  <c r="M27" i="83"/>
  <c r="P27" i="83" s="1"/>
  <c r="Q27" i="83" s="1"/>
  <c r="F27" i="83"/>
  <c r="E27" i="83"/>
  <c r="G27" i="83" s="1"/>
  <c r="M26" i="83"/>
  <c r="P26" i="83" s="1"/>
  <c r="Q26" i="83" s="1"/>
  <c r="F26" i="83"/>
  <c r="E26" i="83"/>
  <c r="G26" i="83" s="1"/>
  <c r="M25" i="83"/>
  <c r="P25" i="83" s="1"/>
  <c r="Q25" i="83" s="1"/>
  <c r="F25" i="83"/>
  <c r="E25" i="83"/>
  <c r="G25" i="83" s="1"/>
  <c r="M24" i="83"/>
  <c r="N24" i="83" s="1"/>
  <c r="F24" i="83"/>
  <c r="E24" i="83"/>
  <c r="M23" i="83"/>
  <c r="P23" i="83" s="1"/>
  <c r="Q23" i="83" s="1"/>
  <c r="F23" i="83"/>
  <c r="E23" i="83"/>
  <c r="M22" i="83"/>
  <c r="P22" i="83" s="1"/>
  <c r="Q22" i="83" s="1"/>
  <c r="F22" i="83"/>
  <c r="E22" i="83"/>
  <c r="M21" i="83"/>
  <c r="P21" i="83" s="1"/>
  <c r="Q21" i="83" s="1"/>
  <c r="F21" i="83"/>
  <c r="E21" i="83"/>
  <c r="G21" i="83" s="1"/>
  <c r="M20" i="83"/>
  <c r="N20" i="83" s="1"/>
  <c r="F20" i="83"/>
  <c r="E20" i="83"/>
  <c r="M19" i="83"/>
  <c r="P19" i="83" s="1"/>
  <c r="Q19" i="83" s="1"/>
  <c r="F19" i="83"/>
  <c r="E19" i="83"/>
  <c r="M18" i="83"/>
  <c r="P18" i="83" s="1"/>
  <c r="Q18" i="83" s="1"/>
  <c r="F18" i="83"/>
  <c r="E18" i="83"/>
  <c r="M17" i="83"/>
  <c r="P17" i="83" s="1"/>
  <c r="Q17" i="83" s="1"/>
  <c r="F17" i="83"/>
  <c r="G17" i="83" s="1"/>
  <c r="E17" i="83"/>
  <c r="M16" i="83"/>
  <c r="N16" i="83" s="1"/>
  <c r="F16" i="83"/>
  <c r="E16" i="83"/>
  <c r="G16" i="83" s="1"/>
  <c r="M15" i="83"/>
  <c r="P15" i="83" s="1"/>
  <c r="Q15" i="83" s="1"/>
  <c r="F15" i="83"/>
  <c r="E15" i="83"/>
  <c r="G15" i="83" s="1"/>
  <c r="M14" i="83"/>
  <c r="P14" i="83" s="1"/>
  <c r="Q14" i="83" s="1"/>
  <c r="F14" i="83"/>
  <c r="E14" i="83"/>
  <c r="G14" i="83" s="1"/>
  <c r="M13" i="83"/>
  <c r="P13" i="83" s="1"/>
  <c r="Q13" i="83" s="1"/>
  <c r="F13" i="83"/>
  <c r="G13" i="83" s="1"/>
  <c r="E13" i="83"/>
  <c r="M12" i="83"/>
  <c r="P12" i="83" s="1"/>
  <c r="Q12" i="83" s="1"/>
  <c r="F12" i="83"/>
  <c r="E12" i="83"/>
  <c r="M11" i="83"/>
  <c r="P11" i="83" s="1"/>
  <c r="Q11" i="83" s="1"/>
  <c r="F11" i="83"/>
  <c r="E11" i="83"/>
  <c r="G11" i="83" s="1"/>
  <c r="M10" i="83"/>
  <c r="P10" i="83" s="1"/>
  <c r="Q10" i="83" s="1"/>
  <c r="F10" i="83"/>
  <c r="E10" i="83"/>
  <c r="G10" i="83" s="1"/>
  <c r="M9" i="83"/>
  <c r="P9" i="83" s="1"/>
  <c r="Q9" i="83" s="1"/>
  <c r="F9" i="83"/>
  <c r="E9" i="83"/>
  <c r="G9" i="83" s="1"/>
  <c r="M8" i="83"/>
  <c r="N8" i="83" s="1"/>
  <c r="F8" i="83"/>
  <c r="E8" i="83"/>
  <c r="G8" i="83" s="1"/>
  <c r="M7" i="83"/>
  <c r="N7" i="83" s="1"/>
  <c r="F7" i="83"/>
  <c r="E7" i="83"/>
  <c r="G7" i="83" s="1"/>
  <c r="M6" i="83"/>
  <c r="N6" i="83" s="1"/>
  <c r="F6" i="83"/>
  <c r="E6" i="83"/>
  <c r="G6" i="83" s="1"/>
  <c r="M5" i="83"/>
  <c r="P5" i="83" s="1"/>
  <c r="Q5" i="83" s="1"/>
  <c r="F5" i="83"/>
  <c r="E5" i="83"/>
  <c r="P4" i="83"/>
  <c r="Q4" i="83" s="1"/>
  <c r="N4" i="83"/>
  <c r="M40" i="82"/>
  <c r="M42" i="82"/>
  <c r="P62" i="84" l="1"/>
  <c r="Q62" i="84"/>
  <c r="N62" i="84"/>
  <c r="N51" i="83"/>
  <c r="N33" i="83"/>
  <c r="N31" i="83"/>
  <c r="N12" i="83"/>
  <c r="P8" i="83"/>
  <c r="Q8" i="83" s="1"/>
  <c r="P7" i="83"/>
  <c r="Q7" i="83" s="1"/>
  <c r="P36" i="83"/>
  <c r="Q36" i="83" s="1"/>
  <c r="P43" i="83"/>
  <c r="Q43" i="83" s="1"/>
  <c r="P32" i="83"/>
  <c r="Q32" i="83" s="1"/>
  <c r="N44" i="83"/>
  <c r="N52" i="83"/>
  <c r="F62" i="83"/>
  <c r="G19" i="83"/>
  <c r="P20" i="83"/>
  <c r="Q20" i="83" s="1"/>
  <c r="G23" i="83"/>
  <c r="P24" i="83"/>
  <c r="Q24" i="83" s="1"/>
  <c r="N28" i="83"/>
  <c r="G40" i="83"/>
  <c r="G42" i="83"/>
  <c r="N47" i="83"/>
  <c r="G55" i="83"/>
  <c r="P56" i="83"/>
  <c r="Q56" i="83" s="1"/>
  <c r="E62" i="83"/>
  <c r="P16" i="83"/>
  <c r="Q16" i="83" s="1"/>
  <c r="G5" i="83"/>
  <c r="G62" i="83" s="1"/>
  <c r="N11" i="83"/>
  <c r="N15" i="83"/>
  <c r="P40" i="83"/>
  <c r="Q40" i="83" s="1"/>
  <c r="G44" i="83"/>
  <c r="N49" i="83"/>
  <c r="G36" i="83"/>
  <c r="N9" i="83"/>
  <c r="N19" i="83"/>
  <c r="N23" i="83"/>
  <c r="G48" i="83"/>
  <c r="N55" i="83"/>
  <c r="N59" i="83"/>
  <c r="N41" i="83"/>
  <c r="G12" i="83"/>
  <c r="N17" i="83"/>
  <c r="N27" i="83"/>
  <c r="N60" i="83"/>
  <c r="G18" i="83"/>
  <c r="G20" i="83"/>
  <c r="G22" i="83"/>
  <c r="G24" i="83"/>
  <c r="N25" i="83"/>
  <c r="N35" i="83"/>
  <c r="G47" i="83"/>
  <c r="P48" i="83"/>
  <c r="Q48" i="83" s="1"/>
  <c r="G52" i="83"/>
  <c r="G54" i="83"/>
  <c r="N57" i="83"/>
  <c r="N14" i="83"/>
  <c r="N22" i="83"/>
  <c r="N30" i="83"/>
  <c r="N38" i="83"/>
  <c r="N46" i="83"/>
  <c r="N54" i="83"/>
  <c r="M62" i="83"/>
  <c r="N5" i="83"/>
  <c r="P6" i="83"/>
  <c r="Q6" i="83" s="1"/>
  <c r="N13" i="83"/>
  <c r="N21" i="83"/>
  <c r="N29" i="83"/>
  <c r="N37" i="83"/>
  <c r="N45" i="83"/>
  <c r="N53" i="83"/>
  <c r="N10" i="83"/>
  <c r="N18" i="83"/>
  <c r="N26" i="83"/>
  <c r="N34" i="83"/>
  <c r="N42" i="83"/>
  <c r="N50" i="83"/>
  <c r="N58" i="83"/>
  <c r="J62" i="82"/>
  <c r="I62" i="82"/>
  <c r="L61" i="82"/>
  <c r="K61" i="82"/>
  <c r="J61" i="82"/>
  <c r="I61" i="82"/>
  <c r="H61" i="82"/>
  <c r="D61" i="82"/>
  <c r="C61" i="82"/>
  <c r="M59" i="82"/>
  <c r="P59" i="82" s="1"/>
  <c r="Q59" i="82" s="1"/>
  <c r="F59" i="82"/>
  <c r="E59" i="82"/>
  <c r="G59" i="82" s="1"/>
  <c r="M58" i="82"/>
  <c r="N58" i="82" s="1"/>
  <c r="G58" i="82"/>
  <c r="F58" i="82"/>
  <c r="E58" i="82"/>
  <c r="M57" i="82"/>
  <c r="P57" i="82" s="1"/>
  <c r="Q57" i="82" s="1"/>
  <c r="F57" i="82"/>
  <c r="E57" i="82"/>
  <c r="G57" i="82" s="1"/>
  <c r="M56" i="82"/>
  <c r="N56" i="82" s="1"/>
  <c r="F56" i="82"/>
  <c r="E56" i="82"/>
  <c r="G56" i="82" s="1"/>
  <c r="M55" i="82"/>
  <c r="P55" i="82" s="1"/>
  <c r="Q55" i="82" s="1"/>
  <c r="F55" i="82"/>
  <c r="E55" i="82"/>
  <c r="G55" i="82" s="1"/>
  <c r="M54" i="82"/>
  <c r="P54" i="82" s="1"/>
  <c r="Q54" i="82" s="1"/>
  <c r="F54" i="82"/>
  <c r="E54" i="82"/>
  <c r="G54" i="82" s="1"/>
  <c r="M53" i="82"/>
  <c r="P53" i="82" s="1"/>
  <c r="Q53" i="82" s="1"/>
  <c r="F53" i="82"/>
  <c r="E53" i="82"/>
  <c r="G53" i="82" s="1"/>
  <c r="M52" i="82"/>
  <c r="N52" i="82" s="1"/>
  <c r="F52" i="82"/>
  <c r="E52" i="82"/>
  <c r="G52" i="82" s="1"/>
  <c r="M51" i="82"/>
  <c r="N51" i="82" s="1"/>
  <c r="F51" i="82"/>
  <c r="E51" i="82"/>
  <c r="G51" i="82" s="1"/>
  <c r="M50" i="82"/>
  <c r="N50" i="82" s="1"/>
  <c r="F50" i="82"/>
  <c r="E50" i="82"/>
  <c r="M49" i="82"/>
  <c r="P49" i="82" s="1"/>
  <c r="Q49" i="82" s="1"/>
  <c r="F49" i="82"/>
  <c r="E49" i="82"/>
  <c r="M48" i="82"/>
  <c r="N48" i="82" s="1"/>
  <c r="F48" i="82"/>
  <c r="G48" i="82" s="1"/>
  <c r="E48" i="82"/>
  <c r="N47" i="82"/>
  <c r="M47" i="82"/>
  <c r="P47" i="82" s="1"/>
  <c r="Q47" i="82" s="1"/>
  <c r="F47" i="82"/>
  <c r="E47" i="82"/>
  <c r="G47" i="82" s="1"/>
  <c r="M46" i="82"/>
  <c r="P46" i="82" s="1"/>
  <c r="Q46" i="82" s="1"/>
  <c r="G46" i="82"/>
  <c r="F46" i="82"/>
  <c r="E46" i="82"/>
  <c r="M45" i="82"/>
  <c r="P45" i="82" s="1"/>
  <c r="Q45" i="82" s="1"/>
  <c r="F45" i="82"/>
  <c r="E45" i="82"/>
  <c r="G45" i="82" s="1"/>
  <c r="M44" i="82"/>
  <c r="N44" i="82" s="1"/>
  <c r="F44" i="82"/>
  <c r="E44" i="82"/>
  <c r="M43" i="82"/>
  <c r="P43" i="82" s="1"/>
  <c r="Q43" i="82" s="1"/>
  <c r="F43" i="82"/>
  <c r="E43" i="82"/>
  <c r="N42" i="82"/>
  <c r="F42" i="82"/>
  <c r="E42" i="82"/>
  <c r="G42" i="82" s="1"/>
  <c r="M41" i="82"/>
  <c r="N41" i="82" s="1"/>
  <c r="F41" i="82"/>
  <c r="E41" i="82"/>
  <c r="G41" i="82" s="1"/>
  <c r="N40" i="82"/>
  <c r="F40" i="82"/>
  <c r="E40" i="82"/>
  <c r="M39" i="82"/>
  <c r="P39" i="82" s="1"/>
  <c r="Q39" i="82" s="1"/>
  <c r="F39" i="82"/>
  <c r="G39" i="82" s="1"/>
  <c r="E39" i="82"/>
  <c r="M38" i="82"/>
  <c r="P38" i="82" s="1"/>
  <c r="Q38" i="82" s="1"/>
  <c r="F38" i="82"/>
  <c r="G38" i="82" s="1"/>
  <c r="E38" i="82"/>
  <c r="M37" i="82"/>
  <c r="P37" i="82" s="1"/>
  <c r="Q37" i="82" s="1"/>
  <c r="F37" i="82"/>
  <c r="G37" i="82" s="1"/>
  <c r="E37" i="82"/>
  <c r="M36" i="82"/>
  <c r="N36" i="82" s="1"/>
  <c r="F36" i="82"/>
  <c r="E36" i="82"/>
  <c r="G36" i="82" s="1"/>
  <c r="M35" i="82"/>
  <c r="N35" i="82" s="1"/>
  <c r="F35" i="82"/>
  <c r="E35" i="82"/>
  <c r="G35" i="82" s="1"/>
  <c r="M34" i="82"/>
  <c r="N34" i="82" s="1"/>
  <c r="F34" i="82"/>
  <c r="E34" i="82"/>
  <c r="M33" i="82"/>
  <c r="P33" i="82" s="1"/>
  <c r="Q33" i="82" s="1"/>
  <c r="F33" i="82"/>
  <c r="E33" i="82"/>
  <c r="M32" i="82"/>
  <c r="N32" i="82" s="1"/>
  <c r="F32" i="82"/>
  <c r="G32" i="82" s="1"/>
  <c r="E32" i="82"/>
  <c r="M31" i="82"/>
  <c r="P31" i="82" s="1"/>
  <c r="Q31" i="82" s="1"/>
  <c r="G31" i="82"/>
  <c r="F31" i="82"/>
  <c r="E31" i="82"/>
  <c r="M30" i="82"/>
  <c r="P30" i="82" s="1"/>
  <c r="Q30" i="82" s="1"/>
  <c r="G30" i="82"/>
  <c r="F30" i="82"/>
  <c r="E30" i="82"/>
  <c r="M29" i="82"/>
  <c r="P29" i="82" s="1"/>
  <c r="Q29" i="82" s="1"/>
  <c r="G29" i="82"/>
  <c r="F29" i="82"/>
  <c r="E29" i="82"/>
  <c r="M28" i="82"/>
  <c r="N28" i="82" s="1"/>
  <c r="F28" i="82"/>
  <c r="E28" i="82"/>
  <c r="M27" i="82"/>
  <c r="P27" i="82" s="1"/>
  <c r="Q27" i="82" s="1"/>
  <c r="F27" i="82"/>
  <c r="E27" i="82"/>
  <c r="M26" i="82"/>
  <c r="N26" i="82" s="1"/>
  <c r="F26" i="82"/>
  <c r="E26" i="82"/>
  <c r="M25" i="82"/>
  <c r="P25" i="82" s="1"/>
  <c r="Q25" i="82" s="1"/>
  <c r="F25" i="82"/>
  <c r="E25" i="82"/>
  <c r="M24" i="82"/>
  <c r="N24" i="82" s="1"/>
  <c r="F24" i="82"/>
  <c r="G24" i="82" s="1"/>
  <c r="E24" i="82"/>
  <c r="M23" i="82"/>
  <c r="P23" i="82" s="1"/>
  <c r="Q23" i="82" s="1"/>
  <c r="G23" i="82"/>
  <c r="F23" i="82"/>
  <c r="E23" i="82"/>
  <c r="M22" i="82"/>
  <c r="P22" i="82" s="1"/>
  <c r="Q22" i="82" s="1"/>
  <c r="G22" i="82"/>
  <c r="F22" i="82"/>
  <c r="E22" i="82"/>
  <c r="M21" i="82"/>
  <c r="P21" i="82" s="1"/>
  <c r="Q21" i="82" s="1"/>
  <c r="G21" i="82"/>
  <c r="F21" i="82"/>
  <c r="E21" i="82"/>
  <c r="M20" i="82"/>
  <c r="N20" i="82" s="1"/>
  <c r="F20" i="82"/>
  <c r="E20" i="82"/>
  <c r="M19" i="82"/>
  <c r="N19" i="82" s="1"/>
  <c r="F19" i="82"/>
  <c r="E19" i="82"/>
  <c r="M18" i="82"/>
  <c r="N18" i="82" s="1"/>
  <c r="F18" i="82"/>
  <c r="E18" i="82"/>
  <c r="G18" i="82" s="1"/>
  <c r="M17" i="82"/>
  <c r="P17" i="82" s="1"/>
  <c r="Q17" i="82" s="1"/>
  <c r="F17" i="82"/>
  <c r="E17" i="82"/>
  <c r="G17" i="82" s="1"/>
  <c r="M16" i="82"/>
  <c r="N16" i="82" s="1"/>
  <c r="F16" i="82"/>
  <c r="E16" i="82"/>
  <c r="G16" i="82" s="1"/>
  <c r="M15" i="82"/>
  <c r="P15" i="82" s="1"/>
  <c r="Q15" i="82" s="1"/>
  <c r="G15" i="82"/>
  <c r="F15" i="82"/>
  <c r="E15" i="82"/>
  <c r="M14" i="82"/>
  <c r="P14" i="82" s="1"/>
  <c r="Q14" i="82" s="1"/>
  <c r="F14" i="82"/>
  <c r="E14" i="82"/>
  <c r="G14" i="82" s="1"/>
  <c r="M13" i="82"/>
  <c r="P13" i="82" s="1"/>
  <c r="Q13" i="82" s="1"/>
  <c r="G13" i="82"/>
  <c r="F13" i="82"/>
  <c r="E13" i="82"/>
  <c r="M12" i="82"/>
  <c r="N12" i="82" s="1"/>
  <c r="F12" i="82"/>
  <c r="E12" i="82"/>
  <c r="M11" i="82"/>
  <c r="P11" i="82" s="1"/>
  <c r="Q11" i="82" s="1"/>
  <c r="F11" i="82"/>
  <c r="E11" i="82"/>
  <c r="M10" i="82"/>
  <c r="N10" i="82" s="1"/>
  <c r="F10" i="82"/>
  <c r="E10" i="82"/>
  <c r="M9" i="82"/>
  <c r="N9" i="82" s="1"/>
  <c r="F9" i="82"/>
  <c r="E9" i="82"/>
  <c r="M8" i="82"/>
  <c r="N8" i="82" s="1"/>
  <c r="F8" i="82"/>
  <c r="G8" i="82" s="1"/>
  <c r="E8" i="82"/>
  <c r="M7" i="82"/>
  <c r="P7" i="82" s="1"/>
  <c r="Q7" i="82" s="1"/>
  <c r="F7" i="82"/>
  <c r="E7" i="82"/>
  <c r="G7" i="82" s="1"/>
  <c r="M6" i="82"/>
  <c r="N6" i="82" s="1"/>
  <c r="F6" i="82"/>
  <c r="G6" i="82" s="1"/>
  <c r="E6" i="82"/>
  <c r="M5" i="82"/>
  <c r="P5" i="82" s="1"/>
  <c r="Q5" i="82" s="1"/>
  <c r="F5" i="82"/>
  <c r="E5" i="82"/>
  <c r="P4" i="82"/>
  <c r="N4" i="82"/>
  <c r="L62" i="81"/>
  <c r="K62" i="81"/>
  <c r="J62" i="81"/>
  <c r="I62" i="81"/>
  <c r="H62" i="81"/>
  <c r="D62" i="81"/>
  <c r="C62" i="81"/>
  <c r="M60" i="81"/>
  <c r="N60" i="81" s="1"/>
  <c r="F60" i="81"/>
  <c r="E60" i="81"/>
  <c r="M59" i="81"/>
  <c r="P59" i="81" s="1"/>
  <c r="Q59" i="81" s="1"/>
  <c r="F59" i="81"/>
  <c r="E59" i="81"/>
  <c r="M58" i="81"/>
  <c r="P58" i="81" s="1"/>
  <c r="Q58" i="81" s="1"/>
  <c r="F58" i="81"/>
  <c r="E58" i="81"/>
  <c r="M57" i="81"/>
  <c r="P57" i="81" s="1"/>
  <c r="Q57" i="81" s="1"/>
  <c r="F57" i="81"/>
  <c r="E57" i="81"/>
  <c r="N56" i="81"/>
  <c r="F56" i="81"/>
  <c r="E56" i="81"/>
  <c r="M55" i="81"/>
  <c r="P55" i="81" s="1"/>
  <c r="Q55" i="81" s="1"/>
  <c r="F55" i="81"/>
  <c r="E55" i="81"/>
  <c r="M54" i="81"/>
  <c r="P54" i="81" s="1"/>
  <c r="Q54" i="81" s="1"/>
  <c r="F54" i="81"/>
  <c r="E54" i="81"/>
  <c r="M53" i="81"/>
  <c r="P53" i="81" s="1"/>
  <c r="Q53" i="81" s="1"/>
  <c r="F53" i="81"/>
  <c r="E53" i="81"/>
  <c r="M52" i="81"/>
  <c r="N52" i="81" s="1"/>
  <c r="F52" i="81"/>
  <c r="G52" i="81" s="1"/>
  <c r="E52" i="81"/>
  <c r="M51" i="81"/>
  <c r="P51" i="81" s="1"/>
  <c r="Q51" i="81" s="1"/>
  <c r="F51" i="81"/>
  <c r="E51" i="81"/>
  <c r="M50" i="81"/>
  <c r="P50" i="81" s="1"/>
  <c r="Q50" i="81" s="1"/>
  <c r="F50" i="81"/>
  <c r="E50" i="81"/>
  <c r="M49" i="81"/>
  <c r="N49" i="81" s="1"/>
  <c r="F49" i="81"/>
  <c r="E49" i="81"/>
  <c r="M48" i="81"/>
  <c r="N48" i="81" s="1"/>
  <c r="F48" i="81"/>
  <c r="E48" i="81"/>
  <c r="M47" i="81"/>
  <c r="N47" i="81" s="1"/>
  <c r="F47" i="81"/>
  <c r="E47" i="81"/>
  <c r="M46" i="81"/>
  <c r="P46" i="81" s="1"/>
  <c r="Q46" i="81" s="1"/>
  <c r="F46" i="81"/>
  <c r="E46" i="81"/>
  <c r="M45" i="81"/>
  <c r="P45" i="81" s="1"/>
  <c r="Q45" i="81" s="1"/>
  <c r="F45" i="81"/>
  <c r="E45" i="81"/>
  <c r="M44" i="81"/>
  <c r="N44" i="81" s="1"/>
  <c r="F44" i="81"/>
  <c r="E44" i="81"/>
  <c r="M43" i="81"/>
  <c r="P43" i="81" s="1"/>
  <c r="Q43" i="81" s="1"/>
  <c r="F43" i="81"/>
  <c r="E43" i="81"/>
  <c r="M42" i="81"/>
  <c r="P42" i="81" s="1"/>
  <c r="Q42" i="81" s="1"/>
  <c r="F42" i="81"/>
  <c r="E42" i="81"/>
  <c r="M41" i="81"/>
  <c r="N41" i="81" s="1"/>
  <c r="F41" i="81"/>
  <c r="E41" i="81"/>
  <c r="M40" i="81"/>
  <c r="P40" i="81" s="1"/>
  <c r="Q40" i="81" s="1"/>
  <c r="F40" i="81"/>
  <c r="E40" i="81"/>
  <c r="M39" i="81"/>
  <c r="P39" i="81" s="1"/>
  <c r="Q39" i="81" s="1"/>
  <c r="F39" i="81"/>
  <c r="E39" i="81"/>
  <c r="M38" i="81"/>
  <c r="P38" i="81" s="1"/>
  <c r="Q38" i="81" s="1"/>
  <c r="F38" i="81"/>
  <c r="E38" i="81"/>
  <c r="M37" i="81"/>
  <c r="P37" i="81" s="1"/>
  <c r="Q37" i="81" s="1"/>
  <c r="F37" i="81"/>
  <c r="E37" i="81"/>
  <c r="M36" i="81"/>
  <c r="N36" i="81" s="1"/>
  <c r="F36" i="81"/>
  <c r="G36" i="81" s="1"/>
  <c r="E36" i="81"/>
  <c r="M35" i="81"/>
  <c r="P35" i="81" s="1"/>
  <c r="Q35" i="81" s="1"/>
  <c r="F35" i="81"/>
  <c r="E35" i="81"/>
  <c r="M34" i="81"/>
  <c r="P34" i="81" s="1"/>
  <c r="Q34" i="81" s="1"/>
  <c r="F34" i="81"/>
  <c r="E34" i="81"/>
  <c r="M33" i="81"/>
  <c r="N33" i="81" s="1"/>
  <c r="F33" i="81"/>
  <c r="E33" i="81"/>
  <c r="M32" i="81"/>
  <c r="P32" i="81" s="1"/>
  <c r="Q32" i="81" s="1"/>
  <c r="F32" i="81"/>
  <c r="E32" i="81"/>
  <c r="M31" i="81"/>
  <c r="P31" i="81" s="1"/>
  <c r="Q31" i="81" s="1"/>
  <c r="F31" i="81"/>
  <c r="E31" i="81"/>
  <c r="M30" i="81"/>
  <c r="P30" i="81" s="1"/>
  <c r="Q30" i="81" s="1"/>
  <c r="F30" i="81"/>
  <c r="E30" i="81"/>
  <c r="M29" i="81"/>
  <c r="P29" i="81" s="1"/>
  <c r="Q29" i="81" s="1"/>
  <c r="F29" i="81"/>
  <c r="E29" i="81"/>
  <c r="M28" i="81"/>
  <c r="N28" i="81" s="1"/>
  <c r="F28" i="81"/>
  <c r="E28" i="81"/>
  <c r="M27" i="81"/>
  <c r="P27" i="81" s="1"/>
  <c r="Q27" i="81" s="1"/>
  <c r="F27" i="81"/>
  <c r="E27" i="81"/>
  <c r="M26" i="81"/>
  <c r="P26" i="81" s="1"/>
  <c r="Q26" i="81" s="1"/>
  <c r="F26" i="81"/>
  <c r="E26" i="81"/>
  <c r="M25" i="81"/>
  <c r="N25" i="81" s="1"/>
  <c r="F25" i="81"/>
  <c r="E25" i="81"/>
  <c r="M24" i="81"/>
  <c r="P24" i="81" s="1"/>
  <c r="Q24" i="81" s="1"/>
  <c r="F24" i="81"/>
  <c r="E24" i="81"/>
  <c r="M23" i="81"/>
  <c r="P23" i="81" s="1"/>
  <c r="Q23" i="81" s="1"/>
  <c r="F23" i="81"/>
  <c r="E23" i="81"/>
  <c r="M22" i="81"/>
  <c r="P22" i="81" s="1"/>
  <c r="Q22" i="81" s="1"/>
  <c r="F22" i="81"/>
  <c r="E22" i="81"/>
  <c r="M21" i="81"/>
  <c r="P21" i="81" s="1"/>
  <c r="Q21" i="81" s="1"/>
  <c r="F21" i="81"/>
  <c r="E21" i="81"/>
  <c r="M20" i="81"/>
  <c r="N20" i="81" s="1"/>
  <c r="F20" i="81"/>
  <c r="E20" i="81"/>
  <c r="M19" i="81"/>
  <c r="P19" i="81" s="1"/>
  <c r="Q19" i="81" s="1"/>
  <c r="F19" i="81"/>
  <c r="E19" i="81"/>
  <c r="M18" i="81"/>
  <c r="P18" i="81" s="1"/>
  <c r="Q18" i="81" s="1"/>
  <c r="F18" i="81"/>
  <c r="E18" i="81"/>
  <c r="M17" i="81"/>
  <c r="N17" i="81" s="1"/>
  <c r="F17" i="81"/>
  <c r="E17" i="81"/>
  <c r="M16" i="81"/>
  <c r="N16" i="81" s="1"/>
  <c r="F16" i="81"/>
  <c r="E16" i="81"/>
  <c r="M15" i="81"/>
  <c r="N15" i="81" s="1"/>
  <c r="F15" i="81"/>
  <c r="E15" i="81"/>
  <c r="M14" i="81"/>
  <c r="P14" i="81" s="1"/>
  <c r="Q14" i="81" s="1"/>
  <c r="F14" i="81"/>
  <c r="E14" i="81"/>
  <c r="M13" i="81"/>
  <c r="P13" i="81" s="1"/>
  <c r="Q13" i="81" s="1"/>
  <c r="F13" i="81"/>
  <c r="E13" i="81"/>
  <c r="M12" i="81"/>
  <c r="N12" i="81" s="1"/>
  <c r="F12" i="81"/>
  <c r="E12" i="81"/>
  <c r="M11" i="81"/>
  <c r="P11" i="81" s="1"/>
  <c r="Q11" i="81" s="1"/>
  <c r="F11" i="81"/>
  <c r="E11" i="81"/>
  <c r="M10" i="81"/>
  <c r="P10" i="81" s="1"/>
  <c r="Q10" i="81" s="1"/>
  <c r="F10" i="81"/>
  <c r="E10" i="81"/>
  <c r="M9" i="81"/>
  <c r="N9" i="81" s="1"/>
  <c r="F9" i="81"/>
  <c r="E9" i="81"/>
  <c r="M8" i="81"/>
  <c r="P8" i="81" s="1"/>
  <c r="Q8" i="81" s="1"/>
  <c r="F8" i="81"/>
  <c r="E8" i="81"/>
  <c r="M7" i="81"/>
  <c r="P7" i="81" s="1"/>
  <c r="Q7" i="81" s="1"/>
  <c r="F7" i="81"/>
  <c r="E7" i="81"/>
  <c r="M6" i="81"/>
  <c r="P6" i="81" s="1"/>
  <c r="Q6" i="81" s="1"/>
  <c r="F6" i="81"/>
  <c r="E6" i="81"/>
  <c r="M5" i="81"/>
  <c r="P5" i="81" s="1"/>
  <c r="Q5" i="81" s="1"/>
  <c r="F5" i="81"/>
  <c r="E5" i="81"/>
  <c r="P4" i="81"/>
  <c r="N4" i="81"/>
  <c r="M40" i="80"/>
  <c r="M59" i="80"/>
  <c r="N59" i="80" s="1"/>
  <c r="F59" i="80"/>
  <c r="E59" i="80"/>
  <c r="G59" i="80" s="1"/>
  <c r="H67" i="80"/>
  <c r="H66" i="80"/>
  <c r="L62" i="80"/>
  <c r="K62" i="80"/>
  <c r="J62" i="80"/>
  <c r="J64" i="80" s="1"/>
  <c r="I62" i="80"/>
  <c r="I64" i="80" s="1"/>
  <c r="H62" i="80"/>
  <c r="J73" i="80" s="1"/>
  <c r="D62" i="80"/>
  <c r="C62" i="80"/>
  <c r="M60" i="80"/>
  <c r="N60" i="80" s="1"/>
  <c r="F60" i="80"/>
  <c r="G60" i="80" s="1"/>
  <c r="E60" i="80"/>
  <c r="M58" i="80"/>
  <c r="P58" i="80" s="1"/>
  <c r="Q58" i="80" s="1"/>
  <c r="F58" i="80"/>
  <c r="E58" i="80"/>
  <c r="G58" i="80" s="1"/>
  <c r="M57" i="80"/>
  <c r="P57" i="80" s="1"/>
  <c r="Q57" i="80" s="1"/>
  <c r="F57" i="80"/>
  <c r="E57" i="80"/>
  <c r="M56" i="80"/>
  <c r="N56" i="80" s="1"/>
  <c r="F56" i="80"/>
  <c r="E56" i="80"/>
  <c r="G56" i="80" s="1"/>
  <c r="M55" i="80"/>
  <c r="N55" i="80" s="1"/>
  <c r="F55" i="80"/>
  <c r="E55" i="80"/>
  <c r="M54" i="80"/>
  <c r="N54" i="80" s="1"/>
  <c r="F54" i="80"/>
  <c r="E54" i="80"/>
  <c r="M53" i="80"/>
  <c r="P53" i="80" s="1"/>
  <c r="Q53" i="80" s="1"/>
  <c r="F53" i="80"/>
  <c r="E53" i="80"/>
  <c r="G53" i="80" s="1"/>
  <c r="M52" i="80"/>
  <c r="P52" i="80" s="1"/>
  <c r="Q52" i="80" s="1"/>
  <c r="G52" i="80"/>
  <c r="F52" i="80"/>
  <c r="E52" i="80"/>
  <c r="M51" i="80"/>
  <c r="N51" i="80" s="1"/>
  <c r="F51" i="80"/>
  <c r="E51" i="80"/>
  <c r="G51" i="80" s="1"/>
  <c r="M50" i="80"/>
  <c r="P50" i="80" s="1"/>
  <c r="Q50" i="80" s="1"/>
  <c r="F50" i="80"/>
  <c r="E50" i="80"/>
  <c r="M49" i="80"/>
  <c r="P49" i="80" s="1"/>
  <c r="Q49" i="80" s="1"/>
  <c r="F49" i="80"/>
  <c r="E49" i="80"/>
  <c r="M48" i="80"/>
  <c r="N48" i="80" s="1"/>
  <c r="F48" i="80"/>
  <c r="E48" i="80"/>
  <c r="M47" i="80"/>
  <c r="N47" i="80" s="1"/>
  <c r="F47" i="80"/>
  <c r="E47" i="80"/>
  <c r="G47" i="80" s="1"/>
  <c r="M46" i="80"/>
  <c r="N46" i="80" s="1"/>
  <c r="F46" i="80"/>
  <c r="E46" i="80"/>
  <c r="M45" i="80"/>
  <c r="P45" i="80" s="1"/>
  <c r="Q45" i="80" s="1"/>
  <c r="F45" i="80"/>
  <c r="E45" i="80"/>
  <c r="G45" i="80" s="1"/>
  <c r="M44" i="80"/>
  <c r="P44" i="80" s="1"/>
  <c r="Q44" i="80" s="1"/>
  <c r="G44" i="80"/>
  <c r="F44" i="80"/>
  <c r="E44" i="80"/>
  <c r="M43" i="80"/>
  <c r="N43" i="80" s="1"/>
  <c r="F43" i="80"/>
  <c r="E43" i="80"/>
  <c r="G43" i="80" s="1"/>
  <c r="M42" i="80"/>
  <c r="P42" i="80" s="1"/>
  <c r="Q42" i="80" s="1"/>
  <c r="F42" i="80"/>
  <c r="E42" i="80"/>
  <c r="M41" i="80"/>
  <c r="P41" i="80" s="1"/>
  <c r="Q41" i="80" s="1"/>
  <c r="F41" i="80"/>
  <c r="E41" i="80"/>
  <c r="G41" i="80" s="1"/>
  <c r="N40" i="80"/>
  <c r="F40" i="80"/>
  <c r="E40" i="80"/>
  <c r="M39" i="80"/>
  <c r="P39" i="80" s="1"/>
  <c r="Q39" i="80" s="1"/>
  <c r="F39" i="80"/>
  <c r="E39" i="80"/>
  <c r="G39" i="80" s="1"/>
  <c r="M38" i="80"/>
  <c r="N38" i="80" s="1"/>
  <c r="F38" i="80"/>
  <c r="E38" i="80"/>
  <c r="G38" i="80" s="1"/>
  <c r="M37" i="80"/>
  <c r="P37" i="80" s="1"/>
  <c r="Q37" i="80" s="1"/>
  <c r="F37" i="80"/>
  <c r="G37" i="80" s="1"/>
  <c r="E37" i="80"/>
  <c r="M36" i="80"/>
  <c r="P36" i="80" s="1"/>
  <c r="Q36" i="80" s="1"/>
  <c r="F36" i="80"/>
  <c r="E36" i="80"/>
  <c r="G36" i="80" s="1"/>
  <c r="M35" i="80"/>
  <c r="N35" i="80" s="1"/>
  <c r="F35" i="80"/>
  <c r="G35" i="80" s="1"/>
  <c r="E35" i="80"/>
  <c r="M34" i="80"/>
  <c r="P34" i="80" s="1"/>
  <c r="Q34" i="80" s="1"/>
  <c r="F34" i="80"/>
  <c r="E34" i="80"/>
  <c r="G34" i="80" s="1"/>
  <c r="M33" i="80"/>
  <c r="P33" i="80" s="1"/>
  <c r="Q33" i="80" s="1"/>
  <c r="F33" i="80"/>
  <c r="E33" i="80"/>
  <c r="M32" i="80"/>
  <c r="N32" i="80" s="1"/>
  <c r="F32" i="80"/>
  <c r="E32" i="80"/>
  <c r="G32" i="80" s="1"/>
  <c r="M31" i="80"/>
  <c r="N31" i="80" s="1"/>
  <c r="F31" i="80"/>
  <c r="E31" i="80"/>
  <c r="M30" i="80"/>
  <c r="N30" i="80" s="1"/>
  <c r="F30" i="80"/>
  <c r="E30" i="80"/>
  <c r="M29" i="80"/>
  <c r="P29" i="80" s="1"/>
  <c r="Q29" i="80" s="1"/>
  <c r="F29" i="80"/>
  <c r="E29" i="80"/>
  <c r="G29" i="80" s="1"/>
  <c r="M28" i="80"/>
  <c r="P28" i="80" s="1"/>
  <c r="Q28" i="80" s="1"/>
  <c r="F28" i="80"/>
  <c r="E28" i="80"/>
  <c r="G28" i="80" s="1"/>
  <c r="M27" i="80"/>
  <c r="N27" i="80" s="1"/>
  <c r="F27" i="80"/>
  <c r="E27" i="80"/>
  <c r="G27" i="80" s="1"/>
  <c r="M26" i="80"/>
  <c r="P26" i="80" s="1"/>
  <c r="Q26" i="80" s="1"/>
  <c r="F26" i="80"/>
  <c r="E26" i="80"/>
  <c r="G26" i="80" s="1"/>
  <c r="M25" i="80"/>
  <c r="P25" i="80" s="1"/>
  <c r="Q25" i="80" s="1"/>
  <c r="F25" i="80"/>
  <c r="E25" i="80"/>
  <c r="M24" i="80"/>
  <c r="N24" i="80" s="1"/>
  <c r="F24" i="80"/>
  <c r="E24" i="80"/>
  <c r="G24" i="80" s="1"/>
  <c r="M23" i="80"/>
  <c r="N23" i="80" s="1"/>
  <c r="F23" i="80"/>
  <c r="E23" i="80"/>
  <c r="G23" i="80" s="1"/>
  <c r="M22" i="80"/>
  <c r="N22" i="80" s="1"/>
  <c r="F22" i="80"/>
  <c r="E22" i="80"/>
  <c r="M21" i="80"/>
  <c r="P21" i="80" s="1"/>
  <c r="Q21" i="80" s="1"/>
  <c r="F21" i="80"/>
  <c r="E21" i="80"/>
  <c r="G21" i="80" s="1"/>
  <c r="M20" i="80"/>
  <c r="P20" i="80" s="1"/>
  <c r="Q20" i="80" s="1"/>
  <c r="F20" i="80"/>
  <c r="G20" i="80" s="1"/>
  <c r="E20" i="80"/>
  <c r="M19" i="80"/>
  <c r="N19" i="80" s="1"/>
  <c r="F19" i="80"/>
  <c r="E19" i="80"/>
  <c r="G19" i="80" s="1"/>
  <c r="M18" i="80"/>
  <c r="P18" i="80" s="1"/>
  <c r="Q18" i="80" s="1"/>
  <c r="F18" i="80"/>
  <c r="E18" i="80"/>
  <c r="G18" i="80" s="1"/>
  <c r="M17" i="80"/>
  <c r="P17" i="80" s="1"/>
  <c r="Q17" i="80" s="1"/>
  <c r="F17" i="80"/>
  <c r="E17" i="80"/>
  <c r="G17" i="80" s="1"/>
  <c r="M16" i="80"/>
  <c r="P16" i="80" s="1"/>
  <c r="Q16" i="80" s="1"/>
  <c r="F16" i="80"/>
  <c r="E16" i="80"/>
  <c r="G16" i="80" s="1"/>
  <c r="M15" i="80"/>
  <c r="P15" i="80" s="1"/>
  <c r="Q15" i="80" s="1"/>
  <c r="G15" i="80"/>
  <c r="F15" i="80"/>
  <c r="E15" i="80"/>
  <c r="M14" i="80"/>
  <c r="N14" i="80" s="1"/>
  <c r="F14" i="80"/>
  <c r="E14" i="80"/>
  <c r="G14" i="80" s="1"/>
  <c r="M13" i="80"/>
  <c r="P13" i="80" s="1"/>
  <c r="Q13" i="80" s="1"/>
  <c r="F13" i="80"/>
  <c r="E13" i="80"/>
  <c r="G13" i="80" s="1"/>
  <c r="M12" i="80"/>
  <c r="P12" i="80" s="1"/>
  <c r="Q12" i="80" s="1"/>
  <c r="F12" i="80"/>
  <c r="E12" i="80"/>
  <c r="G12" i="80" s="1"/>
  <c r="M11" i="80"/>
  <c r="N11" i="80" s="1"/>
  <c r="F11" i="80"/>
  <c r="E11" i="80"/>
  <c r="G11" i="80" s="1"/>
  <c r="M10" i="80"/>
  <c r="N10" i="80" s="1"/>
  <c r="F10" i="80"/>
  <c r="E10" i="80"/>
  <c r="G10" i="80" s="1"/>
  <c r="M9" i="80"/>
  <c r="P9" i="80" s="1"/>
  <c r="Q9" i="80" s="1"/>
  <c r="F9" i="80"/>
  <c r="E9" i="80"/>
  <c r="G9" i="80" s="1"/>
  <c r="M8" i="80"/>
  <c r="P8" i="80" s="1"/>
  <c r="Q8" i="80" s="1"/>
  <c r="F8" i="80"/>
  <c r="E8" i="80"/>
  <c r="G8" i="80" s="1"/>
  <c r="M7" i="80"/>
  <c r="P7" i="80" s="1"/>
  <c r="Q7" i="80" s="1"/>
  <c r="G7" i="80"/>
  <c r="F7" i="80"/>
  <c r="E7" i="80"/>
  <c r="M6" i="80"/>
  <c r="N6" i="80" s="1"/>
  <c r="F6" i="80"/>
  <c r="E6" i="80"/>
  <c r="G6" i="80" s="1"/>
  <c r="M5" i="80"/>
  <c r="P5" i="80" s="1"/>
  <c r="Q5" i="80" s="1"/>
  <c r="F5" i="80"/>
  <c r="E5" i="80"/>
  <c r="P4" i="80"/>
  <c r="Q4" i="80" s="1"/>
  <c r="N4" i="80"/>
  <c r="M56" i="79"/>
  <c r="N56" i="79" s="1"/>
  <c r="H68" i="80" l="1"/>
  <c r="R62" i="84"/>
  <c r="Q62" i="83"/>
  <c r="N62" i="83"/>
  <c r="P62" i="83"/>
  <c r="P19" i="82"/>
  <c r="Q19" i="82" s="1"/>
  <c r="N23" i="82"/>
  <c r="P32" i="82"/>
  <c r="Q32" i="82" s="1"/>
  <c r="P34" i="82"/>
  <c r="Q34" i="82" s="1"/>
  <c r="P10" i="82"/>
  <c r="Q10" i="82" s="1"/>
  <c r="P24" i="82"/>
  <c r="Q24" i="82" s="1"/>
  <c r="N33" i="82"/>
  <c r="P35" i="82"/>
  <c r="Q35" i="82" s="1"/>
  <c r="N11" i="82"/>
  <c r="P48" i="82"/>
  <c r="Q48" i="82" s="1"/>
  <c r="N59" i="82"/>
  <c r="P51" i="82"/>
  <c r="Q51" i="82" s="1"/>
  <c r="P50" i="82"/>
  <c r="Q50" i="82" s="1"/>
  <c r="N49" i="82"/>
  <c r="N43" i="82"/>
  <c r="P41" i="82"/>
  <c r="Q41" i="82" s="1"/>
  <c r="N31" i="82"/>
  <c r="N27" i="82"/>
  <c r="P26" i="82"/>
  <c r="Q26" i="82" s="1"/>
  <c r="N25" i="82"/>
  <c r="N15" i="82"/>
  <c r="P9" i="82"/>
  <c r="Q9" i="82" s="1"/>
  <c r="P8" i="82"/>
  <c r="Q8" i="82" s="1"/>
  <c r="N7" i="82"/>
  <c r="G10" i="82"/>
  <c r="P18" i="82"/>
  <c r="Q18" i="82" s="1"/>
  <c r="G20" i="82"/>
  <c r="G33" i="82"/>
  <c r="N39" i="82"/>
  <c r="G43" i="82"/>
  <c r="G50" i="82"/>
  <c r="E61" i="82"/>
  <c r="G9" i="82"/>
  <c r="G12" i="82"/>
  <c r="N17" i="82"/>
  <c r="G19" i="82"/>
  <c r="G26" i="82"/>
  <c r="G40" i="82"/>
  <c r="G49" i="82"/>
  <c r="N55" i="82"/>
  <c r="N57" i="82"/>
  <c r="F61" i="82"/>
  <c r="G5" i="82"/>
  <c r="G11" i="82"/>
  <c r="G25" i="82"/>
  <c r="G28" i="82"/>
  <c r="P40" i="82"/>
  <c r="Q40" i="82" s="1"/>
  <c r="P16" i="82"/>
  <c r="Q16" i="82" s="1"/>
  <c r="G27" i="82"/>
  <c r="G34" i="82"/>
  <c r="G61" i="82" s="1"/>
  <c r="P42" i="82"/>
  <c r="Q42" i="82" s="1"/>
  <c r="G44" i="82"/>
  <c r="P56" i="82"/>
  <c r="Q56" i="82" s="1"/>
  <c r="N38" i="82"/>
  <c r="N54" i="82"/>
  <c r="P12" i="82"/>
  <c r="Q12" i="82" s="1"/>
  <c r="P20" i="82"/>
  <c r="Q20" i="82" s="1"/>
  <c r="P28" i="82"/>
  <c r="Q28" i="82" s="1"/>
  <c r="P36" i="82"/>
  <c r="Q36" i="82" s="1"/>
  <c r="P44" i="82"/>
  <c r="Q44" i="82" s="1"/>
  <c r="P52" i="82"/>
  <c r="Q52" i="82" s="1"/>
  <c r="P58" i="82"/>
  <c r="Q58" i="82" s="1"/>
  <c r="N14" i="82"/>
  <c r="N22" i="82"/>
  <c r="N30" i="82"/>
  <c r="N46" i="82"/>
  <c r="P6" i="82"/>
  <c r="Q6" i="82" s="1"/>
  <c r="N13" i="82"/>
  <c r="N21" i="82"/>
  <c r="N29" i="82"/>
  <c r="N37" i="82"/>
  <c r="N53" i="82"/>
  <c r="Q4" i="82"/>
  <c r="M61" i="82"/>
  <c r="N5" i="82"/>
  <c r="N45" i="82"/>
  <c r="G29" i="81"/>
  <c r="G33" i="81"/>
  <c r="G45" i="81"/>
  <c r="G21" i="81"/>
  <c r="G30" i="81"/>
  <c r="G49" i="81"/>
  <c r="G28" i="81"/>
  <c r="G38" i="81"/>
  <c r="G54" i="81"/>
  <c r="G24" i="81"/>
  <c r="G47" i="81"/>
  <c r="G13" i="81"/>
  <c r="G22" i="81"/>
  <c r="G37" i="81"/>
  <c r="G44" i="81"/>
  <c r="G53" i="81"/>
  <c r="G60" i="81"/>
  <c r="G7" i="81"/>
  <c r="G15" i="81"/>
  <c r="G20" i="81"/>
  <c r="G42" i="81"/>
  <c r="G46" i="81"/>
  <c r="G58" i="81"/>
  <c r="G6" i="81"/>
  <c r="G14" i="81"/>
  <c r="G25" i="81"/>
  <c r="G32" i="81"/>
  <c r="G39" i="81"/>
  <c r="G50" i="81"/>
  <c r="G57" i="81"/>
  <c r="G8" i="81"/>
  <c r="G9" i="81"/>
  <c r="G12" i="81"/>
  <c r="G16" i="81"/>
  <c r="G17" i="81"/>
  <c r="G34" i="81"/>
  <c r="G41" i="81"/>
  <c r="G55" i="81"/>
  <c r="G23" i="81"/>
  <c r="G31" i="81"/>
  <c r="G40" i="81"/>
  <c r="G48" i="81"/>
  <c r="G56" i="81"/>
  <c r="E62" i="81"/>
  <c r="G11" i="81"/>
  <c r="G19" i="81"/>
  <c r="G27" i="81"/>
  <c r="F62" i="81"/>
  <c r="G5" i="81"/>
  <c r="G10" i="81"/>
  <c r="G18" i="81"/>
  <c r="G26" i="81"/>
  <c r="N32" i="81"/>
  <c r="G35" i="81"/>
  <c r="G43" i="81"/>
  <c r="G51" i="81"/>
  <c r="G59" i="81"/>
  <c r="N6" i="81"/>
  <c r="P48" i="81"/>
  <c r="Q48" i="81" s="1"/>
  <c r="P20" i="81"/>
  <c r="Q20" i="81" s="1"/>
  <c r="N55" i="81"/>
  <c r="P47" i="81"/>
  <c r="Q47" i="81" s="1"/>
  <c r="N11" i="81"/>
  <c r="P17" i="81"/>
  <c r="Q17" i="81" s="1"/>
  <c r="N14" i="81"/>
  <c r="P49" i="81"/>
  <c r="Q49" i="81" s="1"/>
  <c r="P60" i="81"/>
  <c r="Q60" i="81" s="1"/>
  <c r="P52" i="81"/>
  <c r="Q52" i="81" s="1"/>
  <c r="N51" i="81"/>
  <c r="N46" i="81"/>
  <c r="N43" i="81"/>
  <c r="P41" i="81"/>
  <c r="Q41" i="81" s="1"/>
  <c r="N38" i="81"/>
  <c r="N31" i="81"/>
  <c r="N23" i="81"/>
  <c r="N19" i="81"/>
  <c r="P16" i="81"/>
  <c r="Q16" i="81" s="1"/>
  <c r="P15" i="81"/>
  <c r="Q15" i="81" s="1"/>
  <c r="P9" i="81"/>
  <c r="Q9" i="81" s="1"/>
  <c r="N8" i="81"/>
  <c r="N40" i="81"/>
  <c r="N59" i="81"/>
  <c r="P28" i="81"/>
  <c r="Q28" i="81" s="1"/>
  <c r="N30" i="81"/>
  <c r="P33" i="81"/>
  <c r="Q33" i="81" s="1"/>
  <c r="N35" i="81"/>
  <c r="N7" i="81"/>
  <c r="P25" i="81"/>
  <c r="Q25" i="81" s="1"/>
  <c r="N27" i="81"/>
  <c r="N39" i="81"/>
  <c r="N54" i="81"/>
  <c r="P12" i="81"/>
  <c r="Q12" i="81" s="1"/>
  <c r="N24" i="81"/>
  <c r="P44" i="81"/>
  <c r="Q44" i="81" s="1"/>
  <c r="P56" i="81"/>
  <c r="Q56" i="81" s="1"/>
  <c r="N22" i="81"/>
  <c r="P36" i="81"/>
  <c r="Q36" i="81" s="1"/>
  <c r="Q4" i="81"/>
  <c r="N10" i="81"/>
  <c r="N18" i="81"/>
  <c r="N26" i="81"/>
  <c r="N34" i="81"/>
  <c r="N42" i="81"/>
  <c r="N50" i="81"/>
  <c r="N58" i="81"/>
  <c r="N57" i="81"/>
  <c r="M62" i="81"/>
  <c r="N5" i="81"/>
  <c r="N13" i="81"/>
  <c r="N21" i="81"/>
  <c r="N29" i="81"/>
  <c r="N37" i="81"/>
  <c r="N45" i="81"/>
  <c r="N53" i="81"/>
  <c r="P23" i="80"/>
  <c r="Q23" i="80" s="1"/>
  <c r="P31" i="80"/>
  <c r="Q31" i="80" s="1"/>
  <c r="P55" i="80"/>
  <c r="Q55" i="80" s="1"/>
  <c r="P32" i="80"/>
  <c r="Q32" i="80" s="1"/>
  <c r="P47" i="80"/>
  <c r="Q47" i="80" s="1"/>
  <c r="P56" i="80"/>
  <c r="Q56" i="80" s="1"/>
  <c r="N29" i="80"/>
  <c r="P38" i="80"/>
  <c r="Q38" i="80" s="1"/>
  <c r="N13" i="80"/>
  <c r="N53" i="80"/>
  <c r="N21" i="80"/>
  <c r="P59" i="80"/>
  <c r="Q59" i="80" s="1"/>
  <c r="N39" i="80"/>
  <c r="P14" i="80"/>
  <c r="Q14" i="80" s="1"/>
  <c r="P30" i="80"/>
  <c r="Q30" i="80" s="1"/>
  <c r="P48" i="80"/>
  <c r="Q48" i="80" s="1"/>
  <c r="P6" i="80"/>
  <c r="Q6" i="80" s="1"/>
  <c r="P24" i="80"/>
  <c r="Q24" i="80" s="1"/>
  <c r="G31" i="80"/>
  <c r="N45" i="80"/>
  <c r="P54" i="80"/>
  <c r="Q54" i="80" s="1"/>
  <c r="F62" i="80"/>
  <c r="N15" i="80"/>
  <c r="N37" i="80"/>
  <c r="E62" i="80"/>
  <c r="G25" i="80"/>
  <c r="G40" i="80"/>
  <c r="G42" i="80"/>
  <c r="G46" i="80"/>
  <c r="G49" i="80"/>
  <c r="G55" i="80"/>
  <c r="N5" i="80"/>
  <c r="P22" i="80"/>
  <c r="Q22" i="80" s="1"/>
  <c r="P46" i="80"/>
  <c r="Q46" i="80" s="1"/>
  <c r="P10" i="80"/>
  <c r="Q10" i="80" s="1"/>
  <c r="G22" i="80"/>
  <c r="G30" i="80"/>
  <c r="G33" i="80"/>
  <c r="P40" i="80"/>
  <c r="Q40" i="80" s="1"/>
  <c r="G48" i="80"/>
  <c r="G50" i="80"/>
  <c r="G54" i="80"/>
  <c r="G57" i="80"/>
  <c r="P11" i="80"/>
  <c r="Q11" i="80" s="1"/>
  <c r="N18" i="80"/>
  <c r="P19" i="80"/>
  <c r="Q19" i="80" s="1"/>
  <c r="N26" i="80"/>
  <c r="P27" i="80"/>
  <c r="Q27" i="80" s="1"/>
  <c r="N34" i="80"/>
  <c r="P35" i="80"/>
  <c r="Q35" i="80" s="1"/>
  <c r="N42" i="80"/>
  <c r="P43" i="80"/>
  <c r="Q43" i="80" s="1"/>
  <c r="N50" i="80"/>
  <c r="P51" i="80"/>
  <c r="Q51" i="80" s="1"/>
  <c r="N58" i="80"/>
  <c r="P60" i="80"/>
  <c r="Q60" i="80" s="1"/>
  <c r="N9" i="80"/>
  <c r="N17" i="80"/>
  <c r="N25" i="80"/>
  <c r="N33" i="80"/>
  <c r="N41" i="80"/>
  <c r="N49" i="80"/>
  <c r="N57" i="80"/>
  <c r="N8" i="80"/>
  <c r="N16" i="80"/>
  <c r="G5" i="80"/>
  <c r="N7" i="80"/>
  <c r="M62" i="80"/>
  <c r="H65" i="80" s="1"/>
  <c r="N12" i="80"/>
  <c r="N20" i="80"/>
  <c r="N28" i="80"/>
  <c r="N36" i="80"/>
  <c r="N44" i="80"/>
  <c r="N52" i="80"/>
  <c r="M40" i="79"/>
  <c r="R62" i="83" l="1"/>
  <c r="N61" i="82"/>
  <c r="Q61" i="82"/>
  <c r="P61" i="82"/>
  <c r="G62" i="81"/>
  <c r="P62" i="81"/>
  <c r="Q62" i="81"/>
  <c r="N62" i="81"/>
  <c r="Q62" i="80"/>
  <c r="G62" i="80"/>
  <c r="P62" i="80"/>
  <c r="N62" i="80"/>
  <c r="M42" i="79"/>
  <c r="P42" i="79" s="1"/>
  <c r="Q42" i="79" s="1"/>
  <c r="P40" i="79"/>
  <c r="Q40" i="79" s="1"/>
  <c r="M25" i="79"/>
  <c r="P25" i="79" s="1"/>
  <c r="Q25" i="79" s="1"/>
  <c r="M14" i="79"/>
  <c r="P14" i="79" s="1"/>
  <c r="Q14" i="79" s="1"/>
  <c r="P56" i="79"/>
  <c r="Q56" i="79" s="1"/>
  <c r="H66" i="79"/>
  <c r="H65" i="79"/>
  <c r="H67" i="79" s="1"/>
  <c r="L61" i="79"/>
  <c r="K61" i="79"/>
  <c r="J61" i="79"/>
  <c r="J63" i="79" s="1"/>
  <c r="I61" i="79"/>
  <c r="I63" i="79" s="1"/>
  <c r="H61" i="79"/>
  <c r="D61" i="79"/>
  <c r="C61" i="79"/>
  <c r="M59" i="79"/>
  <c r="P59" i="79" s="1"/>
  <c r="Q59" i="79" s="1"/>
  <c r="F59" i="79"/>
  <c r="G59" i="79" s="1"/>
  <c r="E59" i="79"/>
  <c r="M58" i="79"/>
  <c r="P58" i="79" s="1"/>
  <c r="Q58" i="79" s="1"/>
  <c r="F58" i="79"/>
  <c r="E58" i="79"/>
  <c r="G58" i="79" s="1"/>
  <c r="M57" i="79"/>
  <c r="P57" i="79" s="1"/>
  <c r="Q57" i="79" s="1"/>
  <c r="F57" i="79"/>
  <c r="E57" i="79"/>
  <c r="G57" i="79" s="1"/>
  <c r="F56" i="79"/>
  <c r="E56" i="79"/>
  <c r="M55" i="79"/>
  <c r="N55" i="79" s="1"/>
  <c r="F55" i="79"/>
  <c r="E55" i="79"/>
  <c r="G55" i="79" s="1"/>
  <c r="M54" i="79"/>
  <c r="N54" i="79" s="1"/>
  <c r="F54" i="79"/>
  <c r="E54" i="79"/>
  <c r="G54" i="79" s="1"/>
  <c r="M53" i="79"/>
  <c r="N53" i="79" s="1"/>
  <c r="F53" i="79"/>
  <c r="E53" i="79"/>
  <c r="G53" i="79" s="1"/>
  <c r="M52" i="79"/>
  <c r="N52" i="79" s="1"/>
  <c r="G52" i="79"/>
  <c r="F52" i="79"/>
  <c r="E52" i="79"/>
  <c r="M51" i="79"/>
  <c r="P51" i="79" s="1"/>
  <c r="Q51" i="79" s="1"/>
  <c r="F51" i="79"/>
  <c r="G51" i="79" s="1"/>
  <c r="E51" i="79"/>
  <c r="M50" i="79"/>
  <c r="P50" i="79" s="1"/>
  <c r="Q50" i="79" s="1"/>
  <c r="F50" i="79"/>
  <c r="E50" i="79"/>
  <c r="G50" i="79" s="1"/>
  <c r="M49" i="79"/>
  <c r="P49" i="79" s="1"/>
  <c r="Q49" i="79" s="1"/>
  <c r="F49" i="79"/>
  <c r="E49" i="79"/>
  <c r="G49" i="79" s="1"/>
  <c r="M48" i="79"/>
  <c r="P48" i="79" s="1"/>
  <c r="Q48" i="79" s="1"/>
  <c r="F48" i="79"/>
  <c r="E48" i="79"/>
  <c r="G48" i="79" s="1"/>
  <c r="M47" i="79"/>
  <c r="N47" i="79" s="1"/>
  <c r="F47" i="79"/>
  <c r="E47" i="79"/>
  <c r="M46" i="79"/>
  <c r="N46" i="79" s="1"/>
  <c r="F46" i="79"/>
  <c r="E46" i="79"/>
  <c r="G46" i="79" s="1"/>
  <c r="M45" i="79"/>
  <c r="P45" i="79" s="1"/>
  <c r="Q45" i="79" s="1"/>
  <c r="F45" i="79"/>
  <c r="E45" i="79"/>
  <c r="G45" i="79" s="1"/>
  <c r="M44" i="79"/>
  <c r="N44" i="79" s="1"/>
  <c r="F44" i="79"/>
  <c r="E44" i="79"/>
  <c r="G44" i="79" s="1"/>
  <c r="M43" i="79"/>
  <c r="N43" i="79" s="1"/>
  <c r="F43" i="79"/>
  <c r="E43" i="79"/>
  <c r="F42" i="79"/>
  <c r="E42" i="79"/>
  <c r="G42" i="79" s="1"/>
  <c r="M41" i="79"/>
  <c r="P41" i="79" s="1"/>
  <c r="Q41" i="79" s="1"/>
  <c r="F41" i="79"/>
  <c r="E41" i="79"/>
  <c r="G41" i="79" s="1"/>
  <c r="F40" i="79"/>
  <c r="E40" i="79"/>
  <c r="M39" i="79"/>
  <c r="N39" i="79" s="1"/>
  <c r="F39" i="79"/>
  <c r="E39" i="79"/>
  <c r="G39" i="79" s="1"/>
  <c r="M38" i="79"/>
  <c r="N38" i="79" s="1"/>
  <c r="F38" i="79"/>
  <c r="E38" i="79"/>
  <c r="G38" i="79" s="1"/>
  <c r="M37" i="79"/>
  <c r="P37" i="79" s="1"/>
  <c r="Q37" i="79" s="1"/>
  <c r="F37" i="79"/>
  <c r="E37" i="79"/>
  <c r="G37" i="79" s="1"/>
  <c r="M36" i="79"/>
  <c r="P36" i="79" s="1"/>
  <c r="Q36" i="79" s="1"/>
  <c r="F36" i="79"/>
  <c r="E36" i="79"/>
  <c r="G36" i="79" s="1"/>
  <c r="M35" i="79"/>
  <c r="N35" i="79" s="1"/>
  <c r="F35" i="79"/>
  <c r="E35" i="79"/>
  <c r="M34" i="79"/>
  <c r="P34" i="79" s="1"/>
  <c r="Q34" i="79" s="1"/>
  <c r="F34" i="79"/>
  <c r="E34" i="79"/>
  <c r="G34" i="79" s="1"/>
  <c r="M33" i="79"/>
  <c r="P33" i="79" s="1"/>
  <c r="Q33" i="79" s="1"/>
  <c r="F33" i="79"/>
  <c r="E33" i="79"/>
  <c r="M32" i="79"/>
  <c r="P32" i="79" s="1"/>
  <c r="Q32" i="79" s="1"/>
  <c r="F32" i="79"/>
  <c r="E32" i="79"/>
  <c r="G32" i="79" s="1"/>
  <c r="M31" i="79"/>
  <c r="N31" i="79" s="1"/>
  <c r="F31" i="79"/>
  <c r="E31" i="79"/>
  <c r="G31" i="79" s="1"/>
  <c r="M30" i="79"/>
  <c r="P30" i="79" s="1"/>
  <c r="Q30" i="79" s="1"/>
  <c r="F30" i="79"/>
  <c r="E30" i="79"/>
  <c r="G30" i="79" s="1"/>
  <c r="M29" i="79"/>
  <c r="P29" i="79" s="1"/>
  <c r="Q29" i="79" s="1"/>
  <c r="F29" i="79"/>
  <c r="E29" i="79"/>
  <c r="M28" i="79"/>
  <c r="P28" i="79" s="1"/>
  <c r="Q28" i="79" s="1"/>
  <c r="F28" i="79"/>
  <c r="G28" i="79" s="1"/>
  <c r="E28" i="79"/>
  <c r="M27" i="79"/>
  <c r="N27" i="79" s="1"/>
  <c r="F27" i="79"/>
  <c r="E27" i="79"/>
  <c r="M26" i="79"/>
  <c r="P26" i="79" s="1"/>
  <c r="Q26" i="79" s="1"/>
  <c r="F26" i="79"/>
  <c r="E26" i="79"/>
  <c r="G26" i="79" s="1"/>
  <c r="F25" i="79"/>
  <c r="E25" i="79"/>
  <c r="M24" i="79"/>
  <c r="P24" i="79" s="1"/>
  <c r="Q24" i="79" s="1"/>
  <c r="F24" i="79"/>
  <c r="E24" i="79"/>
  <c r="G24" i="79" s="1"/>
  <c r="M23" i="79"/>
  <c r="N23" i="79" s="1"/>
  <c r="F23" i="79"/>
  <c r="E23" i="79"/>
  <c r="G23" i="79" s="1"/>
  <c r="M22" i="79"/>
  <c r="P22" i="79" s="1"/>
  <c r="Q22" i="79" s="1"/>
  <c r="F22" i="79"/>
  <c r="E22" i="79"/>
  <c r="G22" i="79" s="1"/>
  <c r="M21" i="79"/>
  <c r="P21" i="79" s="1"/>
  <c r="Q21" i="79" s="1"/>
  <c r="F21" i="79"/>
  <c r="E21" i="79"/>
  <c r="M20" i="79"/>
  <c r="N20" i="79" s="1"/>
  <c r="F20" i="79"/>
  <c r="G20" i="79" s="1"/>
  <c r="E20" i="79"/>
  <c r="M19" i="79"/>
  <c r="N19" i="79" s="1"/>
  <c r="F19" i="79"/>
  <c r="E19" i="79"/>
  <c r="M18" i="79"/>
  <c r="P18" i="79" s="1"/>
  <c r="Q18" i="79" s="1"/>
  <c r="F18" i="79"/>
  <c r="E18" i="79"/>
  <c r="G18" i="79" s="1"/>
  <c r="M17" i="79"/>
  <c r="P17" i="79" s="1"/>
  <c r="Q17" i="79" s="1"/>
  <c r="F17" i="79"/>
  <c r="E17" i="79"/>
  <c r="G17" i="79" s="1"/>
  <c r="M16" i="79"/>
  <c r="P16" i="79" s="1"/>
  <c r="Q16" i="79" s="1"/>
  <c r="F16" i="79"/>
  <c r="E16" i="79"/>
  <c r="M15" i="79"/>
  <c r="N15" i="79" s="1"/>
  <c r="F15" i="79"/>
  <c r="E15" i="79"/>
  <c r="G15" i="79" s="1"/>
  <c r="F14" i="79"/>
  <c r="E14" i="79"/>
  <c r="G14" i="79" s="1"/>
  <c r="M13" i="79"/>
  <c r="P13" i="79" s="1"/>
  <c r="Q13" i="79" s="1"/>
  <c r="F13" i="79"/>
  <c r="E13" i="79"/>
  <c r="M12" i="79"/>
  <c r="N12" i="79" s="1"/>
  <c r="F12" i="79"/>
  <c r="G12" i="79" s="1"/>
  <c r="E12" i="79"/>
  <c r="M11" i="79"/>
  <c r="N11" i="79" s="1"/>
  <c r="F11" i="79"/>
  <c r="E11" i="79"/>
  <c r="M10" i="79"/>
  <c r="P10" i="79" s="1"/>
  <c r="Q10" i="79" s="1"/>
  <c r="F10" i="79"/>
  <c r="E10" i="79"/>
  <c r="G10" i="79" s="1"/>
  <c r="M9" i="79"/>
  <c r="P9" i="79" s="1"/>
  <c r="Q9" i="79" s="1"/>
  <c r="F9" i="79"/>
  <c r="E9" i="79"/>
  <c r="G9" i="79" s="1"/>
  <c r="M8" i="79"/>
  <c r="P8" i="79" s="1"/>
  <c r="Q8" i="79" s="1"/>
  <c r="F8" i="79"/>
  <c r="E8" i="79"/>
  <c r="M7" i="79"/>
  <c r="N7" i="79" s="1"/>
  <c r="F7" i="79"/>
  <c r="E7" i="79"/>
  <c r="G7" i="79" s="1"/>
  <c r="M6" i="79"/>
  <c r="N6" i="79" s="1"/>
  <c r="F6" i="79"/>
  <c r="E6" i="79"/>
  <c r="G6" i="79" s="1"/>
  <c r="M5" i="79"/>
  <c r="N5" i="79" s="1"/>
  <c r="F5" i="79"/>
  <c r="E5" i="79"/>
  <c r="G5" i="79" s="1"/>
  <c r="P4" i="79"/>
  <c r="Q4" i="79" s="1"/>
  <c r="N4" i="79"/>
  <c r="H61" i="78"/>
  <c r="M14" i="78"/>
  <c r="R61" i="82" l="1"/>
  <c r="R62" i="81"/>
  <c r="R62" i="80"/>
  <c r="G11" i="79"/>
  <c r="G27" i="79"/>
  <c r="G19" i="79"/>
  <c r="F61" i="79"/>
  <c r="G35" i="79"/>
  <c r="G8" i="79"/>
  <c r="G13" i="79"/>
  <c r="G61" i="79" s="1"/>
  <c r="G16" i="79"/>
  <c r="G21" i="79"/>
  <c r="G25" i="79"/>
  <c r="G29" i="79"/>
  <c r="G33" i="79"/>
  <c r="P38" i="79"/>
  <c r="Q38" i="79" s="1"/>
  <c r="G40" i="79"/>
  <c r="G43" i="79"/>
  <c r="G47" i="79"/>
  <c r="G56" i="79"/>
  <c r="P47" i="79"/>
  <c r="Q47" i="79" s="1"/>
  <c r="P55" i="79"/>
  <c r="Q55" i="79" s="1"/>
  <c r="P54" i="79"/>
  <c r="Q54" i="79" s="1"/>
  <c r="P46" i="79"/>
  <c r="Q46" i="79" s="1"/>
  <c r="P39" i="79"/>
  <c r="Q39" i="79" s="1"/>
  <c r="N22" i="79"/>
  <c r="P6" i="79"/>
  <c r="Q6" i="79" s="1"/>
  <c r="N9" i="79"/>
  <c r="P7" i="79"/>
  <c r="Q7" i="79" s="1"/>
  <c r="N14" i="79"/>
  <c r="P31" i="79"/>
  <c r="Q31" i="79" s="1"/>
  <c r="N17" i="79"/>
  <c r="P23" i="79"/>
  <c r="Q23" i="79" s="1"/>
  <c r="N30" i="79"/>
  <c r="N25" i="79"/>
  <c r="P15" i="79"/>
  <c r="Q15" i="79" s="1"/>
  <c r="P5" i="79"/>
  <c r="N28" i="79"/>
  <c r="N36" i="79"/>
  <c r="P53" i="79"/>
  <c r="Q53" i="79" s="1"/>
  <c r="P12" i="79"/>
  <c r="Q12" i="79" s="1"/>
  <c r="P44" i="79"/>
  <c r="Q44" i="79" s="1"/>
  <c r="N51" i="79"/>
  <c r="P52" i="79"/>
  <c r="Q52" i="79" s="1"/>
  <c r="N59" i="79"/>
  <c r="J72" i="79"/>
  <c r="N10" i="79"/>
  <c r="P11" i="79"/>
  <c r="Q11" i="79" s="1"/>
  <c r="N18" i="79"/>
  <c r="P19" i="79"/>
  <c r="Q19" i="79" s="1"/>
  <c r="N26" i="79"/>
  <c r="P27" i="79"/>
  <c r="Q27" i="79" s="1"/>
  <c r="N34" i="79"/>
  <c r="P35" i="79"/>
  <c r="Q35" i="79" s="1"/>
  <c r="N42" i="79"/>
  <c r="P43" i="79"/>
  <c r="Q43" i="79" s="1"/>
  <c r="N50" i="79"/>
  <c r="N58" i="79"/>
  <c r="E61" i="79"/>
  <c r="M61" i="79"/>
  <c r="H64" i="79" s="1"/>
  <c r="N13" i="79"/>
  <c r="N21" i="79"/>
  <c r="N29" i="79"/>
  <c r="P20" i="79"/>
  <c r="Q20" i="79" s="1"/>
  <c r="N33" i="79"/>
  <c r="N41" i="79"/>
  <c r="N49" i="79"/>
  <c r="N57" i="79"/>
  <c r="N37" i="79"/>
  <c r="N45" i="79"/>
  <c r="N8" i="79"/>
  <c r="N16" i="79"/>
  <c r="N24" i="79"/>
  <c r="N32" i="79"/>
  <c r="N40" i="79"/>
  <c r="N48" i="79"/>
  <c r="C61" i="78"/>
  <c r="M58" i="78"/>
  <c r="P58" i="78" s="1"/>
  <c r="Q58" i="78" s="1"/>
  <c r="F58" i="78"/>
  <c r="E58" i="78"/>
  <c r="G58" i="78" s="1"/>
  <c r="M57" i="78"/>
  <c r="P57" i="78" s="1"/>
  <c r="Q57" i="78" s="1"/>
  <c r="G57" i="78"/>
  <c r="F57" i="78"/>
  <c r="E57" i="78"/>
  <c r="H66" i="78"/>
  <c r="H65" i="78"/>
  <c r="L61" i="78"/>
  <c r="K61" i="78"/>
  <c r="J61" i="78"/>
  <c r="J63" i="78" s="1"/>
  <c r="I61" i="78"/>
  <c r="I63" i="78" s="1"/>
  <c r="J72" i="78"/>
  <c r="D61" i="78"/>
  <c r="M59" i="78"/>
  <c r="N59" i="78" s="1"/>
  <c r="F59" i="78"/>
  <c r="E59" i="78"/>
  <c r="M56" i="78"/>
  <c r="P56" i="78" s="1"/>
  <c r="Q56" i="78" s="1"/>
  <c r="F56" i="78"/>
  <c r="E56" i="78"/>
  <c r="G56" i="78" s="1"/>
  <c r="M55" i="78"/>
  <c r="N55" i="78" s="1"/>
  <c r="F55" i="78"/>
  <c r="E55" i="78"/>
  <c r="M54" i="78"/>
  <c r="N54" i="78" s="1"/>
  <c r="F54" i="78"/>
  <c r="E54" i="78"/>
  <c r="M53" i="78"/>
  <c r="P53" i="78" s="1"/>
  <c r="Q53" i="78" s="1"/>
  <c r="F53" i="78"/>
  <c r="E53" i="78"/>
  <c r="M52" i="78"/>
  <c r="N52" i="78" s="1"/>
  <c r="F52" i="78"/>
  <c r="E52" i="78"/>
  <c r="G52" i="78" s="1"/>
  <c r="M51" i="78"/>
  <c r="P51" i="78" s="1"/>
  <c r="Q51" i="78" s="1"/>
  <c r="F51" i="78"/>
  <c r="E51" i="78"/>
  <c r="M50" i="78"/>
  <c r="P50" i="78" s="1"/>
  <c r="Q50" i="78" s="1"/>
  <c r="F50" i="78"/>
  <c r="E50" i="78"/>
  <c r="M49" i="78"/>
  <c r="N49" i="78" s="1"/>
  <c r="F49" i="78"/>
  <c r="G49" i="78" s="1"/>
  <c r="E49" i="78"/>
  <c r="M48" i="78"/>
  <c r="P48" i="78" s="1"/>
  <c r="Q48" i="78" s="1"/>
  <c r="F48" i="78"/>
  <c r="E48" i="78"/>
  <c r="M47" i="78"/>
  <c r="N47" i="78" s="1"/>
  <c r="F47" i="78"/>
  <c r="E47" i="78"/>
  <c r="M46" i="78"/>
  <c r="P46" i="78" s="1"/>
  <c r="Q46" i="78" s="1"/>
  <c r="F46" i="78"/>
  <c r="E46" i="78"/>
  <c r="G46" i="78" s="1"/>
  <c r="M45" i="78"/>
  <c r="P45" i="78" s="1"/>
  <c r="Q45" i="78" s="1"/>
  <c r="F45" i="78"/>
  <c r="E45" i="78"/>
  <c r="M44" i="78"/>
  <c r="P44" i="78" s="1"/>
  <c r="Q44" i="78" s="1"/>
  <c r="F44" i="78"/>
  <c r="E44" i="78"/>
  <c r="G44" i="78" s="1"/>
  <c r="M43" i="78"/>
  <c r="P43" i="78" s="1"/>
  <c r="Q43" i="78" s="1"/>
  <c r="F43" i="78"/>
  <c r="E43" i="78"/>
  <c r="M42" i="78"/>
  <c r="P42" i="78" s="1"/>
  <c r="Q42" i="78" s="1"/>
  <c r="F42" i="78"/>
  <c r="E42" i="78"/>
  <c r="M41" i="78"/>
  <c r="N41" i="78" s="1"/>
  <c r="F41" i="78"/>
  <c r="E41" i="78"/>
  <c r="M40" i="78"/>
  <c r="P40" i="78" s="1"/>
  <c r="Q40" i="78" s="1"/>
  <c r="F40" i="78"/>
  <c r="E40" i="78"/>
  <c r="G40" i="78" s="1"/>
  <c r="M39" i="78"/>
  <c r="N39" i="78" s="1"/>
  <c r="F39" i="78"/>
  <c r="E39" i="78"/>
  <c r="M38" i="78"/>
  <c r="P38" i="78" s="1"/>
  <c r="Q38" i="78" s="1"/>
  <c r="F38" i="78"/>
  <c r="E38" i="78"/>
  <c r="M37" i="78"/>
  <c r="P37" i="78" s="1"/>
  <c r="Q37" i="78" s="1"/>
  <c r="F37" i="78"/>
  <c r="E37" i="78"/>
  <c r="M36" i="78"/>
  <c r="N36" i="78" s="1"/>
  <c r="F36" i="78"/>
  <c r="E36" i="78"/>
  <c r="G36" i="78" s="1"/>
  <c r="M35" i="78"/>
  <c r="P35" i="78" s="1"/>
  <c r="Q35" i="78" s="1"/>
  <c r="F35" i="78"/>
  <c r="E35" i="78"/>
  <c r="M34" i="78"/>
  <c r="N34" i="78" s="1"/>
  <c r="F34" i="78"/>
  <c r="E34" i="78"/>
  <c r="M33" i="78"/>
  <c r="P33" i="78" s="1"/>
  <c r="Q33" i="78" s="1"/>
  <c r="F33" i="78"/>
  <c r="E33" i="78"/>
  <c r="M32" i="78"/>
  <c r="P32" i="78" s="1"/>
  <c r="Q32" i="78" s="1"/>
  <c r="F32" i="78"/>
  <c r="E32" i="78"/>
  <c r="G32" i="78" s="1"/>
  <c r="M31" i="78"/>
  <c r="N31" i="78" s="1"/>
  <c r="F31" i="78"/>
  <c r="E31" i="78"/>
  <c r="G31" i="78" s="1"/>
  <c r="M30" i="78"/>
  <c r="N30" i="78" s="1"/>
  <c r="F30" i="78"/>
  <c r="E30" i="78"/>
  <c r="M29" i="78"/>
  <c r="P29" i="78" s="1"/>
  <c r="Q29" i="78" s="1"/>
  <c r="F29" i="78"/>
  <c r="E29" i="78"/>
  <c r="M28" i="78"/>
  <c r="N28" i="78" s="1"/>
  <c r="F28" i="78"/>
  <c r="E28" i="78"/>
  <c r="G28" i="78" s="1"/>
  <c r="M27" i="78"/>
  <c r="P27" i="78" s="1"/>
  <c r="Q27" i="78" s="1"/>
  <c r="F27" i="78"/>
  <c r="E27" i="78"/>
  <c r="M26" i="78"/>
  <c r="N26" i="78" s="1"/>
  <c r="F26" i="78"/>
  <c r="E26" i="78"/>
  <c r="M25" i="78"/>
  <c r="P25" i="78" s="1"/>
  <c r="Q25" i="78" s="1"/>
  <c r="F25" i="78"/>
  <c r="E25" i="78"/>
  <c r="M24" i="78"/>
  <c r="P24" i="78" s="1"/>
  <c r="Q24" i="78" s="1"/>
  <c r="F24" i="78"/>
  <c r="E24" i="78"/>
  <c r="G24" i="78" s="1"/>
  <c r="M23" i="78"/>
  <c r="N23" i="78" s="1"/>
  <c r="F23" i="78"/>
  <c r="E23" i="78"/>
  <c r="M22" i="78"/>
  <c r="P22" i="78" s="1"/>
  <c r="Q22" i="78" s="1"/>
  <c r="F22" i="78"/>
  <c r="E22" i="78"/>
  <c r="M21" i="78"/>
  <c r="P21" i="78" s="1"/>
  <c r="Q21" i="78" s="1"/>
  <c r="F21" i="78"/>
  <c r="E21" i="78"/>
  <c r="M20" i="78"/>
  <c r="P20" i="78" s="1"/>
  <c r="Q20" i="78" s="1"/>
  <c r="F20" i="78"/>
  <c r="E20" i="78"/>
  <c r="M19" i="78"/>
  <c r="P19" i="78" s="1"/>
  <c r="Q19" i="78" s="1"/>
  <c r="F19" i="78"/>
  <c r="E19" i="78"/>
  <c r="M18" i="78"/>
  <c r="N18" i="78" s="1"/>
  <c r="F18" i="78"/>
  <c r="E18" i="78"/>
  <c r="M17" i="78"/>
  <c r="N17" i="78" s="1"/>
  <c r="F17" i="78"/>
  <c r="E17" i="78"/>
  <c r="M16" i="78"/>
  <c r="P16" i="78" s="1"/>
  <c r="Q16" i="78" s="1"/>
  <c r="F16" i="78"/>
  <c r="E16" i="78"/>
  <c r="M15" i="78"/>
  <c r="N15" i="78" s="1"/>
  <c r="F15" i="78"/>
  <c r="E15" i="78"/>
  <c r="G15" i="78" s="1"/>
  <c r="N14" i="78"/>
  <c r="F14" i="78"/>
  <c r="E14" i="78"/>
  <c r="M13" i="78"/>
  <c r="P13" i="78" s="1"/>
  <c r="Q13" i="78" s="1"/>
  <c r="F13" i="78"/>
  <c r="E13" i="78"/>
  <c r="M12" i="78"/>
  <c r="N12" i="78" s="1"/>
  <c r="F12" i="78"/>
  <c r="E12" i="78"/>
  <c r="M11" i="78"/>
  <c r="P11" i="78" s="1"/>
  <c r="Q11" i="78" s="1"/>
  <c r="F11" i="78"/>
  <c r="E11" i="78"/>
  <c r="M10" i="78"/>
  <c r="N10" i="78" s="1"/>
  <c r="F10" i="78"/>
  <c r="E10" i="78"/>
  <c r="G10" i="78" s="1"/>
  <c r="M9" i="78"/>
  <c r="P9" i="78" s="1"/>
  <c r="Q9" i="78" s="1"/>
  <c r="F9" i="78"/>
  <c r="E9" i="78"/>
  <c r="M8" i="78"/>
  <c r="P8" i="78" s="1"/>
  <c r="Q8" i="78" s="1"/>
  <c r="F8" i="78"/>
  <c r="E8" i="78"/>
  <c r="M7" i="78"/>
  <c r="N7" i="78" s="1"/>
  <c r="F7" i="78"/>
  <c r="E7" i="78"/>
  <c r="M6" i="78"/>
  <c r="N6" i="78" s="1"/>
  <c r="F6" i="78"/>
  <c r="E6" i="78"/>
  <c r="G6" i="78" s="1"/>
  <c r="M5" i="78"/>
  <c r="F5" i="78"/>
  <c r="E5" i="78"/>
  <c r="P4" i="78"/>
  <c r="N4" i="78"/>
  <c r="M25" i="77"/>
  <c r="G12" i="78" l="1"/>
  <c r="G20" i="78"/>
  <c r="G19" i="78"/>
  <c r="G27" i="78"/>
  <c r="G35" i="78"/>
  <c r="G21" i="78"/>
  <c r="N61" i="79"/>
  <c r="Q5" i="79"/>
  <c r="Q61" i="79" s="1"/>
  <c r="P61" i="79"/>
  <c r="P12" i="78"/>
  <c r="Q12" i="78" s="1"/>
  <c r="P54" i="78"/>
  <c r="Q54" i="78" s="1"/>
  <c r="N58" i="78"/>
  <c r="N57" i="78"/>
  <c r="P6" i="78"/>
  <c r="Q6" i="78" s="1"/>
  <c r="G14" i="78"/>
  <c r="P23" i="78"/>
  <c r="Q23" i="78" s="1"/>
  <c r="N44" i="78"/>
  <c r="N46" i="78"/>
  <c r="P55" i="78"/>
  <c r="Q55" i="78" s="1"/>
  <c r="M61" i="78"/>
  <c r="H64" i="78" s="1"/>
  <c r="P14" i="78"/>
  <c r="Q14" i="78" s="1"/>
  <c r="G30" i="78"/>
  <c r="G38" i="78"/>
  <c r="G50" i="78"/>
  <c r="G13" i="78"/>
  <c r="G18" i="78"/>
  <c r="G23" i="78"/>
  <c r="G33" i="78"/>
  <c r="G41" i="78"/>
  <c r="P52" i="78"/>
  <c r="Q52" i="78" s="1"/>
  <c r="G39" i="78"/>
  <c r="G53" i="78"/>
  <c r="E61" i="78"/>
  <c r="G17" i="78"/>
  <c r="N33" i="78"/>
  <c r="G42" i="78"/>
  <c r="P47" i="78"/>
  <c r="Q47" i="78" s="1"/>
  <c r="G11" i="78"/>
  <c r="G25" i="78"/>
  <c r="F61" i="78"/>
  <c r="G7" i="78"/>
  <c r="G9" i="78"/>
  <c r="G22" i="78"/>
  <c r="G26" i="78"/>
  <c r="P31" i="78"/>
  <c r="Q31" i="78" s="1"/>
  <c r="G34" i="78"/>
  <c r="P39" i="78"/>
  <c r="Q39" i="78" s="1"/>
  <c r="G48" i="78"/>
  <c r="P15" i="78"/>
  <c r="Q15" i="78" s="1"/>
  <c r="N38" i="78"/>
  <c r="G51" i="78"/>
  <c r="P7" i="78"/>
  <c r="Q7" i="78" s="1"/>
  <c r="G16" i="78"/>
  <c r="N20" i="78"/>
  <c r="N22" i="78"/>
  <c r="P28" i="78"/>
  <c r="Q28" i="78" s="1"/>
  <c r="P30" i="78"/>
  <c r="Q30" i="78" s="1"/>
  <c r="P36" i="78"/>
  <c r="Q36" i="78" s="1"/>
  <c r="G43" i="78"/>
  <c r="G45" i="78"/>
  <c r="G55" i="78"/>
  <c r="G59" i="78"/>
  <c r="G8" i="78"/>
  <c r="G29" i="78"/>
  <c r="G37" i="78"/>
  <c r="G47" i="78"/>
  <c r="H67" i="78"/>
  <c r="G54" i="78"/>
  <c r="N9" i="78"/>
  <c r="P10" i="78"/>
  <c r="Q10" i="78" s="1"/>
  <c r="P18" i="78"/>
  <c r="Q18" i="78" s="1"/>
  <c r="N25" i="78"/>
  <c r="N8" i="78"/>
  <c r="N16" i="78"/>
  <c r="P17" i="78"/>
  <c r="Q17" i="78" s="1"/>
  <c r="N24" i="78"/>
  <c r="N32" i="78"/>
  <c r="N40" i="78"/>
  <c r="P41" i="78"/>
  <c r="Q41" i="78" s="1"/>
  <c r="N48" i="78"/>
  <c r="P49" i="78"/>
  <c r="Q49" i="78" s="1"/>
  <c r="N56" i="78"/>
  <c r="P59" i="78"/>
  <c r="Q59" i="78" s="1"/>
  <c r="N11" i="78"/>
  <c r="P26" i="78"/>
  <c r="Q26" i="78" s="1"/>
  <c r="P34" i="78"/>
  <c r="Q34" i="78" s="1"/>
  <c r="G5" i="78"/>
  <c r="N5" i="78"/>
  <c r="N13" i="78"/>
  <c r="N21" i="78"/>
  <c r="N29" i="78"/>
  <c r="N37" i="78"/>
  <c r="N45" i="78"/>
  <c r="N53" i="78"/>
  <c r="P5" i="78"/>
  <c r="Q5" i="78" s="1"/>
  <c r="N19" i="78"/>
  <c r="N27" i="78"/>
  <c r="N35" i="78"/>
  <c r="N43" i="78"/>
  <c r="N51" i="78"/>
  <c r="Q4" i="78"/>
  <c r="N42" i="78"/>
  <c r="N50" i="78"/>
  <c r="M42" i="77"/>
  <c r="M40" i="77"/>
  <c r="R61" i="79" l="1"/>
  <c r="N61" i="78"/>
  <c r="G61" i="78"/>
  <c r="Q61" i="78"/>
  <c r="P61" i="78"/>
  <c r="H64" i="77"/>
  <c r="H63" i="77"/>
  <c r="H65" i="77" s="1"/>
  <c r="L59" i="77"/>
  <c r="K59" i="77"/>
  <c r="J59" i="77"/>
  <c r="J61" i="77" s="1"/>
  <c r="I59" i="77"/>
  <c r="I61" i="77" s="1"/>
  <c r="H59" i="77"/>
  <c r="J70" i="77" s="1"/>
  <c r="D59" i="77"/>
  <c r="C59" i="77"/>
  <c r="M57" i="77"/>
  <c r="N57" i="77" s="1"/>
  <c r="G57" i="77"/>
  <c r="F57" i="77"/>
  <c r="E57" i="77"/>
  <c r="M56" i="77"/>
  <c r="P56" i="77" s="1"/>
  <c r="Q56" i="77" s="1"/>
  <c r="F56" i="77"/>
  <c r="G56" i="77" s="1"/>
  <c r="E56" i="77"/>
  <c r="M55" i="77"/>
  <c r="P55" i="77" s="1"/>
  <c r="Q55" i="77" s="1"/>
  <c r="F55" i="77"/>
  <c r="E55" i="77"/>
  <c r="G55" i="77" s="1"/>
  <c r="M54" i="77"/>
  <c r="P54" i="77" s="1"/>
  <c r="Q54" i="77" s="1"/>
  <c r="F54" i="77"/>
  <c r="E54" i="77"/>
  <c r="G54" i="77" s="1"/>
  <c r="M53" i="77"/>
  <c r="P53" i="77" s="1"/>
  <c r="Q53" i="77" s="1"/>
  <c r="F53" i="77"/>
  <c r="E53" i="77"/>
  <c r="G53" i="77" s="1"/>
  <c r="M52" i="77"/>
  <c r="N52" i="77" s="1"/>
  <c r="F52" i="77"/>
  <c r="E52" i="77"/>
  <c r="G52" i="77" s="1"/>
  <c r="M51" i="77"/>
  <c r="P51" i="77" s="1"/>
  <c r="Q51" i="77" s="1"/>
  <c r="G51" i="77"/>
  <c r="F51" i="77"/>
  <c r="E51" i="77"/>
  <c r="M50" i="77"/>
  <c r="P50" i="77" s="1"/>
  <c r="Q50" i="77" s="1"/>
  <c r="F50" i="77"/>
  <c r="E50" i="77"/>
  <c r="M49" i="77"/>
  <c r="N49" i="77" s="1"/>
  <c r="F49" i="77"/>
  <c r="G49" i="77" s="1"/>
  <c r="E49" i="77"/>
  <c r="M48" i="77"/>
  <c r="P48" i="77" s="1"/>
  <c r="Q48" i="77" s="1"/>
  <c r="F48" i="77"/>
  <c r="E48" i="77"/>
  <c r="M47" i="77"/>
  <c r="P47" i="77" s="1"/>
  <c r="Q47" i="77" s="1"/>
  <c r="F47" i="77"/>
  <c r="E47" i="77"/>
  <c r="G47" i="77" s="1"/>
  <c r="M46" i="77"/>
  <c r="N46" i="77" s="1"/>
  <c r="F46" i="77"/>
  <c r="E46" i="77"/>
  <c r="G46" i="77" s="1"/>
  <c r="M45" i="77"/>
  <c r="P45" i="77" s="1"/>
  <c r="Q45" i="77" s="1"/>
  <c r="F45" i="77"/>
  <c r="E45" i="77"/>
  <c r="M44" i="77"/>
  <c r="N44" i="77" s="1"/>
  <c r="F44" i="77"/>
  <c r="E44" i="77"/>
  <c r="G44" i="77" s="1"/>
  <c r="M43" i="77"/>
  <c r="P43" i="77" s="1"/>
  <c r="Q43" i="77" s="1"/>
  <c r="F43" i="77"/>
  <c r="E43" i="77"/>
  <c r="G43" i="77" s="1"/>
  <c r="P42" i="77"/>
  <c r="Q42" i="77" s="1"/>
  <c r="F42" i="77"/>
  <c r="E42" i="77"/>
  <c r="G42" i="77" s="1"/>
  <c r="M41" i="77"/>
  <c r="N41" i="77" s="1"/>
  <c r="F41" i="77"/>
  <c r="E41" i="77"/>
  <c r="G41" i="77" s="1"/>
  <c r="P40" i="77"/>
  <c r="Q40" i="77" s="1"/>
  <c r="F40" i="77"/>
  <c r="E40" i="77"/>
  <c r="M39" i="77"/>
  <c r="P39" i="77" s="1"/>
  <c r="Q39" i="77" s="1"/>
  <c r="F39" i="77"/>
  <c r="E39" i="77"/>
  <c r="M38" i="77"/>
  <c r="P38" i="77" s="1"/>
  <c r="Q38" i="77" s="1"/>
  <c r="F38" i="77"/>
  <c r="E38" i="77"/>
  <c r="G38" i="77" s="1"/>
  <c r="M37" i="77"/>
  <c r="P37" i="77" s="1"/>
  <c r="Q37" i="77" s="1"/>
  <c r="F37" i="77"/>
  <c r="E37" i="77"/>
  <c r="G37" i="77" s="1"/>
  <c r="M36" i="77"/>
  <c r="N36" i="77" s="1"/>
  <c r="F36" i="77"/>
  <c r="E36" i="77"/>
  <c r="G36" i="77" s="1"/>
  <c r="M35" i="77"/>
  <c r="P35" i="77" s="1"/>
  <c r="Q35" i="77" s="1"/>
  <c r="F35" i="77"/>
  <c r="G35" i="77" s="1"/>
  <c r="E35" i="77"/>
  <c r="M34" i="77"/>
  <c r="P34" i="77" s="1"/>
  <c r="Q34" i="77" s="1"/>
  <c r="F34" i="77"/>
  <c r="E34" i="77"/>
  <c r="G34" i="77" s="1"/>
  <c r="M33" i="77"/>
  <c r="N33" i="77" s="1"/>
  <c r="F33" i="77"/>
  <c r="E33" i="77"/>
  <c r="G33" i="77" s="1"/>
  <c r="M32" i="77"/>
  <c r="P32" i="77" s="1"/>
  <c r="Q32" i="77" s="1"/>
  <c r="F32" i="77"/>
  <c r="E32" i="77"/>
  <c r="M31" i="77"/>
  <c r="P31" i="77" s="1"/>
  <c r="Q31" i="77" s="1"/>
  <c r="F31" i="77"/>
  <c r="E31" i="77"/>
  <c r="G31" i="77" s="1"/>
  <c r="M30" i="77"/>
  <c r="P30" i="77" s="1"/>
  <c r="Q30" i="77" s="1"/>
  <c r="F30" i="77"/>
  <c r="E30" i="77"/>
  <c r="M29" i="77"/>
  <c r="P29" i="77" s="1"/>
  <c r="Q29" i="77" s="1"/>
  <c r="F29" i="77"/>
  <c r="G29" i="77" s="1"/>
  <c r="E29" i="77"/>
  <c r="M28" i="77"/>
  <c r="N28" i="77" s="1"/>
  <c r="F28" i="77"/>
  <c r="E28" i="77"/>
  <c r="M27" i="77"/>
  <c r="P27" i="77" s="1"/>
  <c r="Q27" i="77" s="1"/>
  <c r="F27" i="77"/>
  <c r="E27" i="77"/>
  <c r="G27" i="77" s="1"/>
  <c r="M26" i="77"/>
  <c r="P26" i="77" s="1"/>
  <c r="Q26" i="77" s="1"/>
  <c r="F26" i="77"/>
  <c r="E26" i="77"/>
  <c r="G26" i="77" s="1"/>
  <c r="N25" i="77"/>
  <c r="G25" i="77"/>
  <c r="F25" i="77"/>
  <c r="E25" i="77"/>
  <c r="M24" i="77"/>
  <c r="P24" i="77" s="1"/>
  <c r="Q24" i="77" s="1"/>
  <c r="F24" i="77"/>
  <c r="G24" i="77" s="1"/>
  <c r="E24" i="77"/>
  <c r="M23" i="77"/>
  <c r="P23" i="77" s="1"/>
  <c r="Q23" i="77" s="1"/>
  <c r="F23" i="77"/>
  <c r="E23" i="77"/>
  <c r="G23" i="77" s="1"/>
  <c r="M22" i="77"/>
  <c r="P22" i="77" s="1"/>
  <c r="Q22" i="77" s="1"/>
  <c r="F22" i="77"/>
  <c r="E22" i="77"/>
  <c r="G22" i="77" s="1"/>
  <c r="M21" i="77"/>
  <c r="P21" i="77" s="1"/>
  <c r="Q21" i="77" s="1"/>
  <c r="F21" i="77"/>
  <c r="E21" i="77"/>
  <c r="G21" i="77" s="1"/>
  <c r="M20" i="77"/>
  <c r="N20" i="77" s="1"/>
  <c r="F20" i="77"/>
  <c r="E20" i="77"/>
  <c r="G20" i="77" s="1"/>
  <c r="M19" i="77"/>
  <c r="P19" i="77" s="1"/>
  <c r="Q19" i="77" s="1"/>
  <c r="F19" i="77"/>
  <c r="E19" i="77"/>
  <c r="G19" i="77" s="1"/>
  <c r="M18" i="77"/>
  <c r="P18" i="77" s="1"/>
  <c r="Q18" i="77" s="1"/>
  <c r="F18" i="77"/>
  <c r="E18" i="77"/>
  <c r="M17" i="77"/>
  <c r="N17" i="77" s="1"/>
  <c r="F17" i="77"/>
  <c r="G17" i="77" s="1"/>
  <c r="E17" i="77"/>
  <c r="M16" i="77"/>
  <c r="P16" i="77" s="1"/>
  <c r="Q16" i="77" s="1"/>
  <c r="F16" i="77"/>
  <c r="E16" i="77"/>
  <c r="M15" i="77"/>
  <c r="P15" i="77" s="1"/>
  <c r="Q15" i="77" s="1"/>
  <c r="F15" i="77"/>
  <c r="E15" i="77"/>
  <c r="G15" i="77" s="1"/>
  <c r="M14" i="77"/>
  <c r="P14" i="77" s="1"/>
  <c r="Q14" i="77" s="1"/>
  <c r="F14" i="77"/>
  <c r="E14" i="77"/>
  <c r="G14" i="77" s="1"/>
  <c r="M13" i="77"/>
  <c r="P13" i="77" s="1"/>
  <c r="Q13" i="77" s="1"/>
  <c r="F13" i="77"/>
  <c r="E13" i="77"/>
  <c r="G13" i="77" s="1"/>
  <c r="M12" i="77"/>
  <c r="N12" i="77" s="1"/>
  <c r="F12" i="77"/>
  <c r="E12" i="77"/>
  <c r="G12" i="77" s="1"/>
  <c r="M11" i="77"/>
  <c r="P11" i="77" s="1"/>
  <c r="Q11" i="77" s="1"/>
  <c r="F11" i="77"/>
  <c r="E11" i="77"/>
  <c r="M10" i="77"/>
  <c r="P10" i="77" s="1"/>
  <c r="Q10" i="77" s="1"/>
  <c r="F10" i="77"/>
  <c r="E10" i="77"/>
  <c r="G10" i="77" s="1"/>
  <c r="M9" i="77"/>
  <c r="N9" i="77" s="1"/>
  <c r="F9" i="77"/>
  <c r="E9" i="77"/>
  <c r="G9" i="77" s="1"/>
  <c r="M8" i="77"/>
  <c r="P8" i="77" s="1"/>
  <c r="Q8" i="77" s="1"/>
  <c r="F8" i="77"/>
  <c r="E8" i="77"/>
  <c r="M7" i="77"/>
  <c r="P7" i="77" s="1"/>
  <c r="Q7" i="77" s="1"/>
  <c r="F7" i="77"/>
  <c r="E7" i="77"/>
  <c r="G7" i="77" s="1"/>
  <c r="M6" i="77"/>
  <c r="P6" i="77" s="1"/>
  <c r="Q6" i="77" s="1"/>
  <c r="G6" i="77"/>
  <c r="F6" i="77"/>
  <c r="E6" i="77"/>
  <c r="M5" i="77"/>
  <c r="G5" i="77"/>
  <c r="F5" i="77"/>
  <c r="E5" i="77"/>
  <c r="P4" i="77"/>
  <c r="Q4" i="77" s="1"/>
  <c r="N4" i="77"/>
  <c r="G48" i="77" l="1"/>
  <c r="E59" i="77"/>
  <c r="G8" i="77"/>
  <c r="G32" i="77"/>
  <c r="G16" i="77"/>
  <c r="G28" i="77"/>
  <c r="P52" i="77"/>
  <c r="Q52" i="77" s="1"/>
  <c r="G11" i="77"/>
  <c r="G59" i="77" s="1"/>
  <c r="G18" i="77"/>
  <c r="G30" i="77"/>
  <c r="G39" i="77"/>
  <c r="G40" i="77"/>
  <c r="G45" i="77"/>
  <c r="G50" i="77"/>
  <c r="R61" i="78"/>
  <c r="P44" i="77"/>
  <c r="Q44" i="77" s="1"/>
  <c r="N43" i="77"/>
  <c r="N38" i="77"/>
  <c r="N16" i="77"/>
  <c r="P12" i="77"/>
  <c r="Q12" i="77" s="1"/>
  <c r="N11" i="77"/>
  <c r="P9" i="77"/>
  <c r="Q9" i="77" s="1"/>
  <c r="N7" i="77"/>
  <c r="N24" i="77"/>
  <c r="N32" i="77"/>
  <c r="N51" i="77"/>
  <c r="P28" i="77"/>
  <c r="Q28" i="77" s="1"/>
  <c r="P20" i="77"/>
  <c r="Q20" i="77" s="1"/>
  <c r="P36" i="77"/>
  <c r="Q36" i="77" s="1"/>
  <c r="N19" i="77"/>
  <c r="M59" i="77"/>
  <c r="H62" i="77" s="1"/>
  <c r="N35" i="77"/>
  <c r="N8" i="77"/>
  <c r="N23" i="77"/>
  <c r="N27" i="77"/>
  <c r="N31" i="77"/>
  <c r="N15" i="77"/>
  <c r="P46" i="77"/>
  <c r="Q46" i="77" s="1"/>
  <c r="P17" i="77"/>
  <c r="Q17" i="77" s="1"/>
  <c r="P25" i="77"/>
  <c r="Q25" i="77" s="1"/>
  <c r="P33" i="77"/>
  <c r="Q33" i="77" s="1"/>
  <c r="N40" i="77"/>
  <c r="P41" i="77"/>
  <c r="Q41" i="77" s="1"/>
  <c r="N48" i="77"/>
  <c r="P49" i="77"/>
  <c r="Q49" i="77" s="1"/>
  <c r="N56" i="77"/>
  <c r="P57" i="77"/>
  <c r="Q57" i="77" s="1"/>
  <c r="N39" i="77"/>
  <c r="N47" i="77"/>
  <c r="N55" i="77"/>
  <c r="N6" i="77"/>
  <c r="N14" i="77"/>
  <c r="N22" i="77"/>
  <c r="N30" i="77"/>
  <c r="N54" i="77"/>
  <c r="N5" i="77"/>
  <c r="N13" i="77"/>
  <c r="N21" i="77"/>
  <c r="N29" i="77"/>
  <c r="N37" i="77"/>
  <c r="N45" i="77"/>
  <c r="N53" i="77"/>
  <c r="P5" i="77"/>
  <c r="Q5" i="77" s="1"/>
  <c r="F59" i="77"/>
  <c r="N18" i="77"/>
  <c r="N26" i="77"/>
  <c r="N34" i="77"/>
  <c r="N42" i="77"/>
  <c r="N50" i="77"/>
  <c r="N10" i="77"/>
  <c r="L59" i="76"/>
  <c r="Q59" i="77" l="1"/>
  <c r="N59" i="77"/>
  <c r="P59" i="77"/>
  <c r="M40" i="76"/>
  <c r="P40" i="76" s="1"/>
  <c r="Q40" i="76" s="1"/>
  <c r="M25" i="76"/>
  <c r="N25" i="76" s="1"/>
  <c r="H64" i="76"/>
  <c r="H63" i="76"/>
  <c r="H65" i="76" s="1"/>
  <c r="K59" i="76"/>
  <c r="J59" i="76"/>
  <c r="J61" i="76" s="1"/>
  <c r="I59" i="76"/>
  <c r="I61" i="76" s="1"/>
  <c r="H59" i="76"/>
  <c r="J70" i="76" s="1"/>
  <c r="D59" i="76"/>
  <c r="C59" i="76"/>
  <c r="M57" i="76"/>
  <c r="P57" i="76" s="1"/>
  <c r="Q57" i="76" s="1"/>
  <c r="F57" i="76"/>
  <c r="E57" i="76"/>
  <c r="G57" i="76" s="1"/>
  <c r="M56" i="76"/>
  <c r="P56" i="76" s="1"/>
  <c r="Q56" i="76" s="1"/>
  <c r="F56" i="76"/>
  <c r="E56" i="76"/>
  <c r="G56" i="76" s="1"/>
  <c r="M55" i="76"/>
  <c r="P55" i="76" s="1"/>
  <c r="Q55" i="76" s="1"/>
  <c r="F55" i="76"/>
  <c r="E55" i="76"/>
  <c r="M54" i="76"/>
  <c r="P54" i="76" s="1"/>
  <c r="Q54" i="76" s="1"/>
  <c r="F54" i="76"/>
  <c r="E54" i="76"/>
  <c r="M53" i="76"/>
  <c r="N53" i="76" s="1"/>
  <c r="F53" i="76"/>
  <c r="E53" i="76"/>
  <c r="G53" i="76" s="1"/>
  <c r="M52" i="76"/>
  <c r="P52" i="76" s="1"/>
  <c r="Q52" i="76" s="1"/>
  <c r="F52" i="76"/>
  <c r="E52" i="76"/>
  <c r="G52" i="76" s="1"/>
  <c r="M51" i="76"/>
  <c r="N51" i="76" s="1"/>
  <c r="F51" i="76"/>
  <c r="E51" i="76"/>
  <c r="G51" i="76" s="1"/>
  <c r="M50" i="76"/>
  <c r="P50" i="76" s="1"/>
  <c r="Q50" i="76" s="1"/>
  <c r="G50" i="76"/>
  <c r="F50" i="76"/>
  <c r="E50" i="76"/>
  <c r="M49" i="76"/>
  <c r="N49" i="76" s="1"/>
  <c r="F49" i="76"/>
  <c r="E49" i="76"/>
  <c r="M48" i="76"/>
  <c r="P48" i="76" s="1"/>
  <c r="Q48" i="76" s="1"/>
  <c r="F48" i="76"/>
  <c r="E48" i="76"/>
  <c r="G48" i="76" s="1"/>
  <c r="M47" i="76"/>
  <c r="P47" i="76" s="1"/>
  <c r="Q47" i="76" s="1"/>
  <c r="F47" i="76"/>
  <c r="E47" i="76"/>
  <c r="M46" i="76"/>
  <c r="P46" i="76" s="1"/>
  <c r="Q46" i="76" s="1"/>
  <c r="F46" i="76"/>
  <c r="E46" i="76"/>
  <c r="G46" i="76" s="1"/>
  <c r="M45" i="76"/>
  <c r="N45" i="76" s="1"/>
  <c r="F45" i="76"/>
  <c r="E45" i="76"/>
  <c r="M44" i="76"/>
  <c r="P44" i="76" s="1"/>
  <c r="Q44" i="76" s="1"/>
  <c r="F44" i="76"/>
  <c r="E44" i="76"/>
  <c r="G44" i="76" s="1"/>
  <c r="M43" i="76"/>
  <c r="N43" i="76" s="1"/>
  <c r="F43" i="76"/>
  <c r="E43" i="76"/>
  <c r="G43" i="76" s="1"/>
  <c r="M42" i="76"/>
  <c r="N42" i="76" s="1"/>
  <c r="F42" i="76"/>
  <c r="E42" i="76"/>
  <c r="G42" i="76" s="1"/>
  <c r="M41" i="76"/>
  <c r="N41" i="76" s="1"/>
  <c r="F41" i="76"/>
  <c r="E41" i="76"/>
  <c r="F40" i="76"/>
  <c r="E40" i="76"/>
  <c r="G40" i="76" s="1"/>
  <c r="M39" i="76"/>
  <c r="P39" i="76" s="1"/>
  <c r="Q39" i="76" s="1"/>
  <c r="F39" i="76"/>
  <c r="E39" i="76"/>
  <c r="M38" i="76"/>
  <c r="P38" i="76" s="1"/>
  <c r="Q38" i="76" s="1"/>
  <c r="F38" i="76"/>
  <c r="E38" i="76"/>
  <c r="G38" i="76" s="1"/>
  <c r="M37" i="76"/>
  <c r="N37" i="76" s="1"/>
  <c r="F37" i="76"/>
  <c r="E37" i="76"/>
  <c r="M36" i="76"/>
  <c r="P36" i="76" s="1"/>
  <c r="Q36" i="76" s="1"/>
  <c r="F36" i="76"/>
  <c r="E36" i="76"/>
  <c r="G36" i="76" s="1"/>
  <c r="M35" i="76"/>
  <c r="N35" i="76" s="1"/>
  <c r="F35" i="76"/>
  <c r="E35" i="76"/>
  <c r="G35" i="76" s="1"/>
  <c r="M34" i="76"/>
  <c r="P34" i="76" s="1"/>
  <c r="Q34" i="76" s="1"/>
  <c r="F34" i="76"/>
  <c r="E34" i="76"/>
  <c r="G34" i="76" s="1"/>
  <c r="M33" i="76"/>
  <c r="N33" i="76" s="1"/>
  <c r="F33" i="76"/>
  <c r="E33" i="76"/>
  <c r="M32" i="76"/>
  <c r="P32" i="76" s="1"/>
  <c r="Q32" i="76" s="1"/>
  <c r="F32" i="76"/>
  <c r="E32" i="76"/>
  <c r="M31" i="76"/>
  <c r="P31" i="76" s="1"/>
  <c r="Q31" i="76" s="1"/>
  <c r="F31" i="76"/>
  <c r="E31" i="76"/>
  <c r="M30" i="76"/>
  <c r="P30" i="76" s="1"/>
  <c r="Q30" i="76" s="1"/>
  <c r="F30" i="76"/>
  <c r="E30" i="76"/>
  <c r="G30" i="76" s="1"/>
  <c r="M29" i="76"/>
  <c r="N29" i="76" s="1"/>
  <c r="F29" i="76"/>
  <c r="E29" i="76"/>
  <c r="G29" i="76" s="1"/>
  <c r="M28" i="76"/>
  <c r="P28" i="76" s="1"/>
  <c r="Q28" i="76" s="1"/>
  <c r="F28" i="76"/>
  <c r="E28" i="76"/>
  <c r="M27" i="76"/>
  <c r="N27" i="76" s="1"/>
  <c r="F27" i="76"/>
  <c r="E27" i="76"/>
  <c r="G27" i="76" s="1"/>
  <c r="M26" i="76"/>
  <c r="P26" i="76" s="1"/>
  <c r="Q26" i="76" s="1"/>
  <c r="F26" i="76"/>
  <c r="E26" i="76"/>
  <c r="G26" i="76" s="1"/>
  <c r="F25" i="76"/>
  <c r="E25" i="76"/>
  <c r="M24" i="76"/>
  <c r="P24" i="76" s="1"/>
  <c r="Q24" i="76" s="1"/>
  <c r="F24" i="76"/>
  <c r="E24" i="76"/>
  <c r="M23" i="76"/>
  <c r="P23" i="76" s="1"/>
  <c r="Q23" i="76" s="1"/>
  <c r="F23" i="76"/>
  <c r="E23" i="76"/>
  <c r="M22" i="76"/>
  <c r="P22" i="76" s="1"/>
  <c r="Q22" i="76" s="1"/>
  <c r="F22" i="76"/>
  <c r="E22" i="76"/>
  <c r="G22" i="76" s="1"/>
  <c r="M21" i="76"/>
  <c r="N21" i="76" s="1"/>
  <c r="F21" i="76"/>
  <c r="E21" i="76"/>
  <c r="G21" i="76" s="1"/>
  <c r="M20" i="76"/>
  <c r="P20" i="76" s="1"/>
  <c r="Q20" i="76" s="1"/>
  <c r="F20" i="76"/>
  <c r="E20" i="76"/>
  <c r="M19" i="76"/>
  <c r="N19" i="76" s="1"/>
  <c r="F19" i="76"/>
  <c r="E19" i="76"/>
  <c r="G19" i="76" s="1"/>
  <c r="M18" i="76"/>
  <c r="N18" i="76" s="1"/>
  <c r="F18" i="76"/>
  <c r="E18" i="76"/>
  <c r="G18" i="76" s="1"/>
  <c r="M17" i="76"/>
  <c r="N17" i="76" s="1"/>
  <c r="F17" i="76"/>
  <c r="E17" i="76"/>
  <c r="M16" i="76"/>
  <c r="P16" i="76" s="1"/>
  <c r="Q16" i="76" s="1"/>
  <c r="F16" i="76"/>
  <c r="E16" i="76"/>
  <c r="G16" i="76" s="1"/>
  <c r="M15" i="76"/>
  <c r="P15" i="76" s="1"/>
  <c r="Q15" i="76" s="1"/>
  <c r="F15" i="76"/>
  <c r="G15" i="76" s="1"/>
  <c r="E15" i="76"/>
  <c r="M14" i="76"/>
  <c r="P14" i="76" s="1"/>
  <c r="Q14" i="76" s="1"/>
  <c r="F14" i="76"/>
  <c r="E14" i="76"/>
  <c r="G14" i="76" s="1"/>
  <c r="M13" i="76"/>
  <c r="N13" i="76" s="1"/>
  <c r="F13" i="76"/>
  <c r="E13" i="76"/>
  <c r="G13" i="76" s="1"/>
  <c r="M12" i="76"/>
  <c r="P12" i="76" s="1"/>
  <c r="Q12" i="76" s="1"/>
  <c r="F12" i="76"/>
  <c r="E12" i="76"/>
  <c r="G12" i="76" s="1"/>
  <c r="M11" i="76"/>
  <c r="N11" i="76" s="1"/>
  <c r="F11" i="76"/>
  <c r="E11" i="76"/>
  <c r="M10" i="76"/>
  <c r="P10" i="76" s="1"/>
  <c r="Q10" i="76" s="1"/>
  <c r="F10" i="76"/>
  <c r="G10" i="76" s="1"/>
  <c r="E10" i="76"/>
  <c r="M9" i="76"/>
  <c r="N9" i="76" s="1"/>
  <c r="F9" i="76"/>
  <c r="E9" i="76"/>
  <c r="M8" i="76"/>
  <c r="P8" i="76" s="1"/>
  <c r="Q8" i="76" s="1"/>
  <c r="F8" i="76"/>
  <c r="E8" i="76"/>
  <c r="G8" i="76" s="1"/>
  <c r="M7" i="76"/>
  <c r="P7" i="76" s="1"/>
  <c r="Q7" i="76" s="1"/>
  <c r="F7" i="76"/>
  <c r="E7" i="76"/>
  <c r="M6" i="76"/>
  <c r="P6" i="76" s="1"/>
  <c r="Q6" i="76" s="1"/>
  <c r="F6" i="76"/>
  <c r="E6" i="76"/>
  <c r="M5" i="76"/>
  <c r="F5" i="76"/>
  <c r="E5" i="76"/>
  <c r="G5" i="76" s="1"/>
  <c r="P4" i="76"/>
  <c r="Q4" i="76" s="1"/>
  <c r="N4" i="76"/>
  <c r="M40" i="75"/>
  <c r="M25" i="75"/>
  <c r="F59" i="76" l="1"/>
  <c r="G9" i="76"/>
  <c r="G23" i="76"/>
  <c r="G31" i="76"/>
  <c r="M59" i="76"/>
  <c r="G17" i="76"/>
  <c r="G39" i="76"/>
  <c r="G47" i="76"/>
  <c r="E59" i="76"/>
  <c r="G7" i="76"/>
  <c r="G11" i="76"/>
  <c r="G20" i="76"/>
  <c r="G24" i="76"/>
  <c r="G25" i="76"/>
  <c r="G28" i="76"/>
  <c r="G32" i="76"/>
  <c r="G33" i="76"/>
  <c r="G37" i="76"/>
  <c r="G41" i="76"/>
  <c r="G45" i="76"/>
  <c r="G49" i="76"/>
  <c r="G54" i="76"/>
  <c r="G55" i="76"/>
  <c r="R59" i="77"/>
  <c r="P18" i="76"/>
  <c r="Q18" i="76" s="1"/>
  <c r="P45" i="76"/>
  <c r="Q45" i="76" s="1"/>
  <c r="N36" i="76"/>
  <c r="P37" i="76"/>
  <c r="Q37" i="76" s="1"/>
  <c r="N34" i="76"/>
  <c r="P53" i="76"/>
  <c r="Q53" i="76" s="1"/>
  <c r="N52" i="76"/>
  <c r="N50" i="76"/>
  <c r="N44" i="76"/>
  <c r="P42" i="76"/>
  <c r="Q42" i="76" s="1"/>
  <c r="P29" i="76"/>
  <c r="Q29" i="76" s="1"/>
  <c r="N28" i="76"/>
  <c r="N26" i="76"/>
  <c r="N23" i="76"/>
  <c r="P21" i="76"/>
  <c r="Q21" i="76" s="1"/>
  <c r="N20" i="76"/>
  <c r="N15" i="76"/>
  <c r="P13" i="76"/>
  <c r="Q13" i="76" s="1"/>
  <c r="N12" i="76"/>
  <c r="N10" i="76"/>
  <c r="N7" i="76"/>
  <c r="H62" i="76"/>
  <c r="P5" i="76"/>
  <c r="Q5" i="76" s="1"/>
  <c r="P11" i="76"/>
  <c r="Q11" i="76" s="1"/>
  <c r="N57" i="76"/>
  <c r="G6" i="76"/>
  <c r="N8" i="76"/>
  <c r="P9" i="76"/>
  <c r="Q9" i="76" s="1"/>
  <c r="N16" i="76"/>
  <c r="P17" i="76"/>
  <c r="Q17" i="76" s="1"/>
  <c r="N24" i="76"/>
  <c r="P25" i="76"/>
  <c r="Q25" i="76" s="1"/>
  <c r="N32" i="76"/>
  <c r="P33" i="76"/>
  <c r="Q33" i="76" s="1"/>
  <c r="N40" i="76"/>
  <c r="P41" i="76"/>
  <c r="Q41" i="76" s="1"/>
  <c r="N48" i="76"/>
  <c r="P49" i="76"/>
  <c r="Q49" i="76" s="1"/>
  <c r="N56" i="76"/>
  <c r="P35" i="76"/>
  <c r="Q35" i="76" s="1"/>
  <c r="P51" i="76"/>
  <c r="Q51" i="76" s="1"/>
  <c r="N31" i="76"/>
  <c r="N39" i="76"/>
  <c r="N47" i="76"/>
  <c r="N55" i="76"/>
  <c r="P19" i="76"/>
  <c r="Q19" i="76" s="1"/>
  <c r="P27" i="76"/>
  <c r="Q27" i="76" s="1"/>
  <c r="P43" i="76"/>
  <c r="Q43" i="76" s="1"/>
  <c r="N6" i="76"/>
  <c r="N14" i="76"/>
  <c r="N22" i="76"/>
  <c r="N30" i="76"/>
  <c r="N38" i="76"/>
  <c r="N46" i="76"/>
  <c r="N54" i="76"/>
  <c r="N5" i="76"/>
  <c r="M39" i="75"/>
  <c r="P39" i="75" s="1"/>
  <c r="Q39" i="75" s="1"/>
  <c r="M42" i="75"/>
  <c r="P42" i="75" s="1"/>
  <c r="Q42" i="75" s="1"/>
  <c r="H64" i="75"/>
  <c r="H65" i="75" s="1"/>
  <c r="H63" i="75"/>
  <c r="L59" i="75"/>
  <c r="K59" i="75"/>
  <c r="J59" i="75"/>
  <c r="J61" i="75" s="1"/>
  <c r="I59" i="75"/>
  <c r="I61" i="75" s="1"/>
  <c r="H59" i="75"/>
  <c r="J70" i="75" s="1"/>
  <c r="D59" i="75"/>
  <c r="C59" i="75"/>
  <c r="M57" i="75"/>
  <c r="N57" i="75" s="1"/>
  <c r="F57" i="75"/>
  <c r="E57" i="75"/>
  <c r="G57" i="75" s="1"/>
  <c r="M56" i="75"/>
  <c r="P56" i="75" s="1"/>
  <c r="Q56" i="75" s="1"/>
  <c r="F56" i="75"/>
  <c r="E56" i="75"/>
  <c r="M55" i="75"/>
  <c r="P55" i="75" s="1"/>
  <c r="Q55" i="75" s="1"/>
  <c r="F55" i="75"/>
  <c r="E55" i="75"/>
  <c r="G55" i="75" s="1"/>
  <c r="M54" i="75"/>
  <c r="P54" i="75" s="1"/>
  <c r="Q54" i="75" s="1"/>
  <c r="F54" i="75"/>
  <c r="E54" i="75"/>
  <c r="M53" i="75"/>
  <c r="P53" i="75" s="1"/>
  <c r="Q53" i="75" s="1"/>
  <c r="F53" i="75"/>
  <c r="E53" i="75"/>
  <c r="G53" i="75" s="1"/>
  <c r="M52" i="75"/>
  <c r="N52" i="75" s="1"/>
  <c r="F52" i="75"/>
  <c r="E52" i="75"/>
  <c r="G52" i="75" s="1"/>
  <c r="M51" i="75"/>
  <c r="P51" i="75" s="1"/>
  <c r="Q51" i="75" s="1"/>
  <c r="F51" i="75"/>
  <c r="G51" i="75" s="1"/>
  <c r="E51" i="75"/>
  <c r="M50" i="75"/>
  <c r="P50" i="75" s="1"/>
  <c r="Q50" i="75" s="1"/>
  <c r="F50" i="75"/>
  <c r="E50" i="75"/>
  <c r="M49" i="75"/>
  <c r="P49" i="75" s="1"/>
  <c r="Q49" i="75" s="1"/>
  <c r="F49" i="75"/>
  <c r="G49" i="75" s="1"/>
  <c r="E49" i="75"/>
  <c r="M48" i="75"/>
  <c r="P48" i="75" s="1"/>
  <c r="Q48" i="75" s="1"/>
  <c r="F48" i="75"/>
  <c r="E48" i="75"/>
  <c r="M47" i="75"/>
  <c r="P47" i="75" s="1"/>
  <c r="Q47" i="75" s="1"/>
  <c r="F47" i="75"/>
  <c r="E47" i="75"/>
  <c r="G47" i="75" s="1"/>
  <c r="M46" i="75"/>
  <c r="P46" i="75" s="1"/>
  <c r="Q46" i="75" s="1"/>
  <c r="F46" i="75"/>
  <c r="E46" i="75"/>
  <c r="G46" i="75" s="1"/>
  <c r="M45" i="75"/>
  <c r="P45" i="75" s="1"/>
  <c r="Q45" i="75" s="1"/>
  <c r="F45" i="75"/>
  <c r="E45" i="75"/>
  <c r="M44" i="75"/>
  <c r="N44" i="75" s="1"/>
  <c r="F44" i="75"/>
  <c r="E44" i="75"/>
  <c r="G44" i="75" s="1"/>
  <c r="M43" i="75"/>
  <c r="P43" i="75" s="1"/>
  <c r="Q43" i="75" s="1"/>
  <c r="F43" i="75"/>
  <c r="E43" i="75"/>
  <c r="F42" i="75"/>
  <c r="E42" i="75"/>
  <c r="M41" i="75"/>
  <c r="P41" i="75" s="1"/>
  <c r="Q41" i="75" s="1"/>
  <c r="F41" i="75"/>
  <c r="G41" i="75" s="1"/>
  <c r="E41" i="75"/>
  <c r="P40" i="75"/>
  <c r="Q40" i="75" s="1"/>
  <c r="F40" i="75"/>
  <c r="E40" i="75"/>
  <c r="F39" i="75"/>
  <c r="E39" i="75"/>
  <c r="G39" i="75" s="1"/>
  <c r="M38" i="75"/>
  <c r="N38" i="75" s="1"/>
  <c r="F38" i="75"/>
  <c r="E38" i="75"/>
  <c r="M37" i="75"/>
  <c r="P37" i="75" s="1"/>
  <c r="Q37" i="75" s="1"/>
  <c r="F37" i="75"/>
  <c r="E37" i="75"/>
  <c r="G37" i="75" s="1"/>
  <c r="M36" i="75"/>
  <c r="N36" i="75" s="1"/>
  <c r="F36" i="75"/>
  <c r="E36" i="75"/>
  <c r="G36" i="75" s="1"/>
  <c r="M35" i="75"/>
  <c r="P35" i="75" s="1"/>
  <c r="Q35" i="75" s="1"/>
  <c r="F35" i="75"/>
  <c r="E35" i="75"/>
  <c r="M34" i="75"/>
  <c r="N34" i="75" s="1"/>
  <c r="F34" i="75"/>
  <c r="E34" i="75"/>
  <c r="M33" i="75"/>
  <c r="N33" i="75" s="1"/>
  <c r="F33" i="75"/>
  <c r="G33" i="75" s="1"/>
  <c r="E33" i="75"/>
  <c r="M32" i="75"/>
  <c r="P32" i="75" s="1"/>
  <c r="Q32" i="75" s="1"/>
  <c r="F32" i="75"/>
  <c r="E32" i="75"/>
  <c r="M31" i="75"/>
  <c r="P31" i="75" s="1"/>
  <c r="Q31" i="75" s="1"/>
  <c r="F31" i="75"/>
  <c r="E31" i="75"/>
  <c r="G31" i="75" s="1"/>
  <c r="M30" i="75"/>
  <c r="N30" i="75" s="1"/>
  <c r="F30" i="75"/>
  <c r="E30" i="75"/>
  <c r="G30" i="75" s="1"/>
  <c r="M29" i="75"/>
  <c r="P29" i="75" s="1"/>
  <c r="Q29" i="75" s="1"/>
  <c r="F29" i="75"/>
  <c r="E29" i="75"/>
  <c r="M28" i="75"/>
  <c r="N28" i="75" s="1"/>
  <c r="F28" i="75"/>
  <c r="E28" i="75"/>
  <c r="G28" i="75" s="1"/>
  <c r="M27" i="75"/>
  <c r="P27" i="75" s="1"/>
  <c r="Q27" i="75" s="1"/>
  <c r="F27" i="75"/>
  <c r="E27" i="75"/>
  <c r="M26" i="75"/>
  <c r="P26" i="75" s="1"/>
  <c r="Q26" i="75" s="1"/>
  <c r="F26" i="75"/>
  <c r="E26" i="75"/>
  <c r="G26" i="75" s="1"/>
  <c r="N25" i="75"/>
  <c r="G25" i="75"/>
  <c r="F25" i="75"/>
  <c r="E25" i="75"/>
  <c r="M24" i="75"/>
  <c r="P24" i="75" s="1"/>
  <c r="Q24" i="75" s="1"/>
  <c r="F24" i="75"/>
  <c r="G24" i="75" s="1"/>
  <c r="E24" i="75"/>
  <c r="M23" i="75"/>
  <c r="P23" i="75" s="1"/>
  <c r="Q23" i="75" s="1"/>
  <c r="F23" i="75"/>
  <c r="E23" i="75"/>
  <c r="G23" i="75" s="1"/>
  <c r="M22" i="75"/>
  <c r="P22" i="75" s="1"/>
  <c r="Q22" i="75" s="1"/>
  <c r="F22" i="75"/>
  <c r="E22" i="75"/>
  <c r="G22" i="75" s="1"/>
  <c r="M21" i="75"/>
  <c r="P21" i="75" s="1"/>
  <c r="Q21" i="75" s="1"/>
  <c r="F21" i="75"/>
  <c r="E21" i="75"/>
  <c r="G21" i="75" s="1"/>
  <c r="M20" i="75"/>
  <c r="N20" i="75" s="1"/>
  <c r="F20" i="75"/>
  <c r="E20" i="75"/>
  <c r="M19" i="75"/>
  <c r="N19" i="75" s="1"/>
  <c r="F19" i="75"/>
  <c r="E19" i="75"/>
  <c r="M18" i="75"/>
  <c r="N18" i="75" s="1"/>
  <c r="F18" i="75"/>
  <c r="E18" i="75"/>
  <c r="G18" i="75" s="1"/>
  <c r="M17" i="75"/>
  <c r="N17" i="75" s="1"/>
  <c r="F17" i="75"/>
  <c r="E17" i="75"/>
  <c r="G17" i="75" s="1"/>
  <c r="M16" i="75"/>
  <c r="N16" i="75" s="1"/>
  <c r="F16" i="75"/>
  <c r="G16" i="75" s="1"/>
  <c r="E16" i="75"/>
  <c r="M15" i="75"/>
  <c r="P15" i="75" s="1"/>
  <c r="Q15" i="75" s="1"/>
  <c r="F15" i="75"/>
  <c r="E15" i="75"/>
  <c r="M14" i="75"/>
  <c r="P14" i="75" s="1"/>
  <c r="Q14" i="75" s="1"/>
  <c r="F14" i="75"/>
  <c r="E14" i="75"/>
  <c r="G14" i="75" s="1"/>
  <c r="M13" i="75"/>
  <c r="P13" i="75" s="1"/>
  <c r="Q13" i="75" s="1"/>
  <c r="F13" i="75"/>
  <c r="E13" i="75"/>
  <c r="G13" i="75" s="1"/>
  <c r="M12" i="75"/>
  <c r="N12" i="75" s="1"/>
  <c r="F12" i="75"/>
  <c r="E12" i="75"/>
  <c r="M11" i="75"/>
  <c r="P11" i="75" s="1"/>
  <c r="Q11" i="75" s="1"/>
  <c r="F11" i="75"/>
  <c r="G11" i="75" s="1"/>
  <c r="E11" i="75"/>
  <c r="M10" i="75"/>
  <c r="P10" i="75" s="1"/>
  <c r="Q10" i="75" s="1"/>
  <c r="F10" i="75"/>
  <c r="E10" i="75"/>
  <c r="G10" i="75" s="1"/>
  <c r="M9" i="75"/>
  <c r="N9" i="75" s="1"/>
  <c r="F9" i="75"/>
  <c r="E9" i="75"/>
  <c r="G9" i="75" s="1"/>
  <c r="M8" i="75"/>
  <c r="N8" i="75" s="1"/>
  <c r="F8" i="75"/>
  <c r="E8" i="75"/>
  <c r="M7" i="75"/>
  <c r="P7" i="75" s="1"/>
  <c r="Q7" i="75" s="1"/>
  <c r="F7" i="75"/>
  <c r="E7" i="75"/>
  <c r="M6" i="75"/>
  <c r="P6" i="75" s="1"/>
  <c r="Q6" i="75" s="1"/>
  <c r="F6" i="75"/>
  <c r="E6" i="75"/>
  <c r="M5" i="75"/>
  <c r="F5" i="75"/>
  <c r="E5" i="75"/>
  <c r="E59" i="75" s="1"/>
  <c r="P4" i="75"/>
  <c r="N4" i="75"/>
  <c r="G32" i="75" l="1"/>
  <c r="G7" i="75"/>
  <c r="G8" i="75"/>
  <c r="G12" i="75"/>
  <c r="G27" i="75"/>
  <c r="G43" i="75"/>
  <c r="G56" i="75"/>
  <c r="G59" i="76"/>
  <c r="G19" i="75"/>
  <c r="G40" i="75"/>
  <c r="G48" i="75"/>
  <c r="G6" i="75"/>
  <c r="G15" i="75"/>
  <c r="G20" i="75"/>
  <c r="G29" i="75"/>
  <c r="G34" i="75"/>
  <c r="G35" i="75"/>
  <c r="G38" i="75"/>
  <c r="G42" i="75"/>
  <c r="G45" i="75"/>
  <c r="G50" i="75"/>
  <c r="G54" i="75"/>
  <c r="Q59" i="76"/>
  <c r="N59" i="76"/>
  <c r="P59" i="76"/>
  <c r="N11" i="75"/>
  <c r="P19" i="75"/>
  <c r="Q19" i="75" s="1"/>
  <c r="P36" i="75"/>
  <c r="Q36" i="75" s="1"/>
  <c r="N51" i="75"/>
  <c r="N43" i="75"/>
  <c r="P38" i="75"/>
  <c r="Q38" i="75" s="1"/>
  <c r="P30" i="75"/>
  <c r="Q30" i="75" s="1"/>
  <c r="N27" i="75"/>
  <c r="N14" i="75"/>
  <c r="N22" i="75"/>
  <c r="N35" i="75"/>
  <c r="N54" i="75"/>
  <c r="M59" i="75"/>
  <c r="H62" i="75" s="1"/>
  <c r="P20" i="75"/>
  <c r="Q20" i="75" s="1"/>
  <c r="P52" i="75"/>
  <c r="Q52" i="75" s="1"/>
  <c r="N46" i="75"/>
  <c r="P12" i="75"/>
  <c r="Q12" i="75" s="1"/>
  <c r="P44" i="75"/>
  <c r="Q44" i="75" s="1"/>
  <c r="N6" i="75"/>
  <c r="P28" i="75"/>
  <c r="Q28" i="75" s="1"/>
  <c r="N41" i="75"/>
  <c r="N49" i="75"/>
  <c r="P17" i="75"/>
  <c r="Q17" i="75" s="1"/>
  <c r="N24" i="75"/>
  <c r="P25" i="75"/>
  <c r="Q25" i="75" s="1"/>
  <c r="N32" i="75"/>
  <c r="P33" i="75"/>
  <c r="Q33" i="75" s="1"/>
  <c r="N40" i="75"/>
  <c r="N48" i="75"/>
  <c r="N56" i="75"/>
  <c r="P57" i="75"/>
  <c r="Q57" i="75" s="1"/>
  <c r="G5" i="75"/>
  <c r="N7" i="75"/>
  <c r="P8" i="75"/>
  <c r="Q8" i="75" s="1"/>
  <c r="N15" i="75"/>
  <c r="P16" i="75"/>
  <c r="Q16" i="75" s="1"/>
  <c r="N23" i="75"/>
  <c r="N31" i="75"/>
  <c r="N39" i="75"/>
  <c r="N47" i="75"/>
  <c r="N55" i="75"/>
  <c r="Q4" i="75"/>
  <c r="N10" i="75"/>
  <c r="P34" i="75"/>
  <c r="Q34" i="75" s="1"/>
  <c r="N26" i="75"/>
  <c r="N42" i="75"/>
  <c r="P18" i="75"/>
  <c r="Q18" i="75" s="1"/>
  <c r="P9" i="75"/>
  <c r="Q9" i="75" s="1"/>
  <c r="N5" i="75"/>
  <c r="N13" i="75"/>
  <c r="N21" i="75"/>
  <c r="N29" i="75"/>
  <c r="N37" i="75"/>
  <c r="N45" i="75"/>
  <c r="N53" i="75"/>
  <c r="N50" i="75"/>
  <c r="P5" i="75"/>
  <c r="Q5" i="75" s="1"/>
  <c r="F59" i="75"/>
  <c r="M42" i="74"/>
  <c r="M39" i="74"/>
  <c r="G59" i="75" l="1"/>
  <c r="R59" i="76"/>
  <c r="N59" i="75"/>
  <c r="Q59" i="75"/>
  <c r="P59" i="75"/>
  <c r="H59" i="74"/>
  <c r="R59" i="75" l="1"/>
  <c r="M33" i="74"/>
  <c r="N33" i="74" s="1"/>
  <c r="M56" i="74"/>
  <c r="P56" i="74" s="1"/>
  <c r="Q56" i="74" s="1"/>
  <c r="F56" i="74"/>
  <c r="E56" i="74"/>
  <c r="H64" i="74"/>
  <c r="H63" i="74"/>
  <c r="H65" i="74" s="1"/>
  <c r="L59" i="74"/>
  <c r="K59" i="74"/>
  <c r="J59" i="74"/>
  <c r="J61" i="74" s="1"/>
  <c r="I59" i="74"/>
  <c r="I61" i="74" s="1"/>
  <c r="J70" i="74"/>
  <c r="D59" i="74"/>
  <c r="C59" i="74"/>
  <c r="M57" i="74"/>
  <c r="N57" i="74" s="1"/>
  <c r="F57" i="74"/>
  <c r="E57" i="74"/>
  <c r="M55" i="74"/>
  <c r="P55" i="74" s="1"/>
  <c r="Q55" i="74" s="1"/>
  <c r="F55" i="74"/>
  <c r="E55" i="74"/>
  <c r="M54" i="74"/>
  <c r="P54" i="74" s="1"/>
  <c r="Q54" i="74" s="1"/>
  <c r="F54" i="74"/>
  <c r="E54" i="74"/>
  <c r="G54" i="74" s="1"/>
  <c r="M53" i="74"/>
  <c r="N53" i="74" s="1"/>
  <c r="F53" i="74"/>
  <c r="E53" i="74"/>
  <c r="M52" i="74"/>
  <c r="P52" i="74" s="1"/>
  <c r="Q52" i="74" s="1"/>
  <c r="F52" i="74"/>
  <c r="E52" i="74"/>
  <c r="M51" i="74"/>
  <c r="P51" i="74" s="1"/>
  <c r="Q51" i="74" s="1"/>
  <c r="F51" i="74"/>
  <c r="E51" i="74"/>
  <c r="M50" i="74"/>
  <c r="P50" i="74" s="1"/>
  <c r="Q50" i="74" s="1"/>
  <c r="F50" i="74"/>
  <c r="G50" i="74" s="1"/>
  <c r="E50" i="74"/>
  <c r="M49" i="74"/>
  <c r="N49" i="74" s="1"/>
  <c r="F49" i="74"/>
  <c r="E49" i="74"/>
  <c r="G49" i="74" s="1"/>
  <c r="M48" i="74"/>
  <c r="N48" i="74" s="1"/>
  <c r="F48" i="74"/>
  <c r="E48" i="74"/>
  <c r="G48" i="74" s="1"/>
  <c r="M47" i="74"/>
  <c r="P47" i="74" s="1"/>
  <c r="Q47" i="74" s="1"/>
  <c r="F47" i="74"/>
  <c r="E47" i="74"/>
  <c r="M46" i="74"/>
  <c r="P46" i="74" s="1"/>
  <c r="Q46" i="74" s="1"/>
  <c r="F46" i="74"/>
  <c r="G46" i="74" s="1"/>
  <c r="E46" i="74"/>
  <c r="M45" i="74"/>
  <c r="N45" i="74" s="1"/>
  <c r="F45" i="74"/>
  <c r="E45" i="74"/>
  <c r="M44" i="74"/>
  <c r="P44" i="74" s="1"/>
  <c r="Q44" i="74" s="1"/>
  <c r="F44" i="74"/>
  <c r="E44" i="74"/>
  <c r="G44" i="74" s="1"/>
  <c r="M43" i="74"/>
  <c r="P43" i="74" s="1"/>
  <c r="Q43" i="74" s="1"/>
  <c r="F43" i="74"/>
  <c r="E43" i="74"/>
  <c r="G43" i="74" s="1"/>
  <c r="N42" i="74"/>
  <c r="G42" i="74"/>
  <c r="F42" i="74"/>
  <c r="E42" i="74"/>
  <c r="M41" i="74"/>
  <c r="N41" i="74" s="1"/>
  <c r="F41" i="74"/>
  <c r="E41" i="74"/>
  <c r="M40" i="74"/>
  <c r="N40" i="74" s="1"/>
  <c r="F40" i="74"/>
  <c r="E40" i="74"/>
  <c r="G40" i="74" s="1"/>
  <c r="P39" i="74"/>
  <c r="Q39" i="74" s="1"/>
  <c r="F39" i="74"/>
  <c r="E39" i="74"/>
  <c r="M38" i="74"/>
  <c r="P38" i="74" s="1"/>
  <c r="Q38" i="74" s="1"/>
  <c r="F38" i="74"/>
  <c r="E38" i="74"/>
  <c r="M37" i="74"/>
  <c r="P37" i="74" s="1"/>
  <c r="Q37" i="74" s="1"/>
  <c r="F37" i="74"/>
  <c r="E37" i="74"/>
  <c r="M36" i="74"/>
  <c r="P36" i="74" s="1"/>
  <c r="Q36" i="74" s="1"/>
  <c r="F36" i="74"/>
  <c r="E36" i="74"/>
  <c r="G36" i="74" s="1"/>
  <c r="M35" i="74"/>
  <c r="P35" i="74" s="1"/>
  <c r="Q35" i="74" s="1"/>
  <c r="F35" i="74"/>
  <c r="E35" i="74"/>
  <c r="G35" i="74" s="1"/>
  <c r="M34" i="74"/>
  <c r="P34" i="74" s="1"/>
  <c r="Q34" i="74" s="1"/>
  <c r="F34" i="74"/>
  <c r="E34" i="74"/>
  <c r="G34" i="74" s="1"/>
  <c r="F33" i="74"/>
  <c r="E33" i="74"/>
  <c r="M32" i="74"/>
  <c r="P32" i="74" s="1"/>
  <c r="Q32" i="74" s="1"/>
  <c r="F32" i="74"/>
  <c r="E32" i="74"/>
  <c r="G32" i="74" s="1"/>
  <c r="M31" i="74"/>
  <c r="P31" i="74" s="1"/>
  <c r="Q31" i="74" s="1"/>
  <c r="F31" i="74"/>
  <c r="E31" i="74"/>
  <c r="M30" i="74"/>
  <c r="P30" i="74" s="1"/>
  <c r="Q30" i="74" s="1"/>
  <c r="F30" i="74"/>
  <c r="E30" i="74"/>
  <c r="M29" i="74"/>
  <c r="P29" i="74" s="1"/>
  <c r="Q29" i="74" s="1"/>
  <c r="F29" i="74"/>
  <c r="E29" i="74"/>
  <c r="M28" i="74"/>
  <c r="P28" i="74" s="1"/>
  <c r="Q28" i="74" s="1"/>
  <c r="F28" i="74"/>
  <c r="E28" i="74"/>
  <c r="M27" i="74"/>
  <c r="P27" i="74" s="1"/>
  <c r="Q27" i="74" s="1"/>
  <c r="F27" i="74"/>
  <c r="E27" i="74"/>
  <c r="G27" i="74" s="1"/>
  <c r="M26" i="74"/>
  <c r="P26" i="74" s="1"/>
  <c r="Q26" i="74" s="1"/>
  <c r="F26" i="74"/>
  <c r="E26" i="74"/>
  <c r="M25" i="74"/>
  <c r="N25" i="74" s="1"/>
  <c r="F25" i="74"/>
  <c r="E25" i="74"/>
  <c r="G25" i="74" s="1"/>
  <c r="M24" i="74"/>
  <c r="N24" i="74" s="1"/>
  <c r="F24" i="74"/>
  <c r="E24" i="74"/>
  <c r="G24" i="74" s="1"/>
  <c r="M23" i="74"/>
  <c r="P23" i="74" s="1"/>
  <c r="Q23" i="74" s="1"/>
  <c r="F23" i="74"/>
  <c r="G23" i="74" s="1"/>
  <c r="E23" i="74"/>
  <c r="M22" i="74"/>
  <c r="P22" i="74" s="1"/>
  <c r="Q22" i="74" s="1"/>
  <c r="F22" i="74"/>
  <c r="G22" i="74" s="1"/>
  <c r="E22" i="74"/>
  <c r="M21" i="74"/>
  <c r="N21" i="74" s="1"/>
  <c r="F21" i="74"/>
  <c r="E21" i="74"/>
  <c r="M20" i="74"/>
  <c r="P20" i="74" s="1"/>
  <c r="Q20" i="74" s="1"/>
  <c r="F20" i="74"/>
  <c r="E20" i="74"/>
  <c r="M19" i="74"/>
  <c r="P19" i="74" s="1"/>
  <c r="Q19" i="74" s="1"/>
  <c r="F19" i="74"/>
  <c r="E19" i="74"/>
  <c r="M18" i="74"/>
  <c r="P18" i="74" s="1"/>
  <c r="Q18" i="74" s="1"/>
  <c r="F18" i="74"/>
  <c r="E18" i="74"/>
  <c r="M17" i="74"/>
  <c r="N17" i="74" s="1"/>
  <c r="F17" i="74"/>
  <c r="E17" i="74"/>
  <c r="M16" i="74"/>
  <c r="N16" i="74" s="1"/>
  <c r="F16" i="74"/>
  <c r="E16" i="74"/>
  <c r="G16" i="74" s="1"/>
  <c r="M15" i="74"/>
  <c r="P15" i="74" s="1"/>
  <c r="Q15" i="74" s="1"/>
  <c r="F15" i="74"/>
  <c r="G15" i="74" s="1"/>
  <c r="E15" i="74"/>
  <c r="M14" i="74"/>
  <c r="P14" i="74" s="1"/>
  <c r="Q14" i="74" s="1"/>
  <c r="F14" i="74"/>
  <c r="E14" i="74"/>
  <c r="M13" i="74"/>
  <c r="P13" i="74" s="1"/>
  <c r="Q13" i="74" s="1"/>
  <c r="F13" i="74"/>
  <c r="E13" i="74"/>
  <c r="M12" i="74"/>
  <c r="P12" i="74" s="1"/>
  <c r="Q12" i="74" s="1"/>
  <c r="F12" i="74"/>
  <c r="E12" i="74"/>
  <c r="G12" i="74" s="1"/>
  <c r="M11" i="74"/>
  <c r="P11" i="74" s="1"/>
  <c r="Q11" i="74" s="1"/>
  <c r="F11" i="74"/>
  <c r="E11" i="74"/>
  <c r="M10" i="74"/>
  <c r="N10" i="74" s="1"/>
  <c r="F10" i="74"/>
  <c r="G10" i="74" s="1"/>
  <c r="E10" i="74"/>
  <c r="M9" i="74"/>
  <c r="N9" i="74" s="1"/>
  <c r="F9" i="74"/>
  <c r="E9" i="74"/>
  <c r="G9" i="74" s="1"/>
  <c r="M8" i="74"/>
  <c r="P8" i="74" s="1"/>
  <c r="Q8" i="74" s="1"/>
  <c r="F8" i="74"/>
  <c r="E8" i="74"/>
  <c r="G8" i="74" s="1"/>
  <c r="M7" i="74"/>
  <c r="N7" i="74" s="1"/>
  <c r="F7" i="74"/>
  <c r="E7" i="74"/>
  <c r="M6" i="74"/>
  <c r="G6" i="74"/>
  <c r="F6" i="74"/>
  <c r="E6" i="74"/>
  <c r="M5" i="74"/>
  <c r="F5" i="74"/>
  <c r="E5" i="74"/>
  <c r="P4" i="74"/>
  <c r="Q4" i="74" s="1"/>
  <c r="N4" i="74"/>
  <c r="P6" i="74" l="1"/>
  <c r="Q6" i="74" s="1"/>
  <c r="N6" i="74"/>
  <c r="G19" i="74"/>
  <c r="G39" i="74"/>
  <c r="G14" i="74"/>
  <c r="G18" i="74"/>
  <c r="G26" i="74"/>
  <c r="G30" i="74"/>
  <c r="G31" i="74"/>
  <c r="G38" i="74"/>
  <c r="G41" i="74"/>
  <c r="G51" i="74"/>
  <c r="G57" i="74"/>
  <c r="G56" i="74"/>
  <c r="N34" i="74"/>
  <c r="P21" i="74"/>
  <c r="Q21" i="74" s="1"/>
  <c r="P48" i="74"/>
  <c r="Q48" i="74" s="1"/>
  <c r="P45" i="74"/>
  <c r="Q45" i="74" s="1"/>
  <c r="P42" i="74"/>
  <c r="Q42" i="74" s="1"/>
  <c r="P16" i="74"/>
  <c r="Q16" i="74" s="1"/>
  <c r="P10" i="74"/>
  <c r="Q10" i="74" s="1"/>
  <c r="P57" i="74"/>
  <c r="Q57" i="74" s="1"/>
  <c r="N56" i="74"/>
  <c r="E59" i="74"/>
  <c r="G7" i="74"/>
  <c r="N13" i="74"/>
  <c r="G20" i="74"/>
  <c r="N44" i="74"/>
  <c r="G53" i="74"/>
  <c r="G55" i="74"/>
  <c r="P24" i="74"/>
  <c r="Q24" i="74" s="1"/>
  <c r="G29" i="74"/>
  <c r="G45" i="74"/>
  <c r="P53" i="74"/>
  <c r="Q53" i="74" s="1"/>
  <c r="F59" i="74"/>
  <c r="M59" i="74"/>
  <c r="H62" i="74" s="1"/>
  <c r="G47" i="74"/>
  <c r="N12" i="74"/>
  <c r="G21" i="74"/>
  <c r="G52" i="74"/>
  <c r="G11" i="74"/>
  <c r="G13" i="74"/>
  <c r="G17" i="74"/>
  <c r="P25" i="74"/>
  <c r="Q25" i="74" s="1"/>
  <c r="G28" i="74"/>
  <c r="G33" i="74"/>
  <c r="G37" i="74"/>
  <c r="P5" i="74"/>
  <c r="Q5" i="74" s="1"/>
  <c r="P9" i="74"/>
  <c r="Q9" i="74" s="1"/>
  <c r="N18" i="74"/>
  <c r="N29" i="74"/>
  <c r="P40" i="74"/>
  <c r="Q40" i="74" s="1"/>
  <c r="N20" i="74"/>
  <c r="P33" i="74"/>
  <c r="Q33" i="74" s="1"/>
  <c r="N8" i="74"/>
  <c r="N26" i="74"/>
  <c r="N37" i="74"/>
  <c r="N28" i="74"/>
  <c r="N32" i="74"/>
  <c r="P41" i="74"/>
  <c r="Q41" i="74" s="1"/>
  <c r="N50" i="74"/>
  <c r="P17" i="74"/>
  <c r="Q17" i="74" s="1"/>
  <c r="N52" i="74"/>
  <c r="N5" i="74"/>
  <c r="N36" i="74"/>
  <c r="P49" i="74"/>
  <c r="Q49" i="74" s="1"/>
  <c r="N15" i="74"/>
  <c r="N23" i="74"/>
  <c r="N39" i="74"/>
  <c r="G5" i="74"/>
  <c r="N31" i="74"/>
  <c r="N47" i="74"/>
  <c r="N55" i="74"/>
  <c r="P7" i="74"/>
  <c r="Q7" i="74" s="1"/>
  <c r="N14" i="74"/>
  <c r="N22" i="74"/>
  <c r="N30" i="74"/>
  <c r="N38" i="74"/>
  <c r="N46" i="74"/>
  <c r="N54" i="74"/>
  <c r="N11" i="74"/>
  <c r="N19" i="74"/>
  <c r="N27" i="74"/>
  <c r="N35" i="74"/>
  <c r="N43" i="74"/>
  <c r="N51" i="74"/>
  <c r="M39" i="73"/>
  <c r="M33" i="73"/>
  <c r="G59" i="74" l="1"/>
  <c r="Q59" i="74"/>
  <c r="N59" i="74"/>
  <c r="P59" i="74"/>
  <c r="M40" i="73"/>
  <c r="P40" i="73" s="1"/>
  <c r="Q40" i="73" s="1"/>
  <c r="H63" i="73"/>
  <c r="H62" i="73"/>
  <c r="L58" i="73"/>
  <c r="K58" i="73"/>
  <c r="J58" i="73"/>
  <c r="J60" i="73" s="1"/>
  <c r="I58" i="73"/>
  <c r="I60" i="73" s="1"/>
  <c r="H58" i="73"/>
  <c r="J69" i="73" s="1"/>
  <c r="D58" i="73"/>
  <c r="C58" i="73"/>
  <c r="M56" i="73"/>
  <c r="P56" i="73" s="1"/>
  <c r="Q56" i="73" s="1"/>
  <c r="F56" i="73"/>
  <c r="E56" i="73"/>
  <c r="M55" i="73"/>
  <c r="P55" i="73" s="1"/>
  <c r="Q55" i="73" s="1"/>
  <c r="F55" i="73"/>
  <c r="E55" i="73"/>
  <c r="M54" i="73"/>
  <c r="P54" i="73" s="1"/>
  <c r="Q54" i="73" s="1"/>
  <c r="F54" i="73"/>
  <c r="E54" i="73"/>
  <c r="G54" i="73" s="1"/>
  <c r="M53" i="73"/>
  <c r="N53" i="73" s="1"/>
  <c r="F53" i="73"/>
  <c r="E53" i="73"/>
  <c r="M52" i="73"/>
  <c r="N52" i="73" s="1"/>
  <c r="F52" i="73"/>
  <c r="E52" i="73"/>
  <c r="M51" i="73"/>
  <c r="P51" i="73" s="1"/>
  <c r="Q51" i="73" s="1"/>
  <c r="F51" i="73"/>
  <c r="E51" i="73"/>
  <c r="M50" i="73"/>
  <c r="P50" i="73" s="1"/>
  <c r="Q50" i="73" s="1"/>
  <c r="F50" i="73"/>
  <c r="E50" i="73"/>
  <c r="G50" i="73" s="1"/>
  <c r="M49" i="73"/>
  <c r="N49" i="73" s="1"/>
  <c r="F49" i="73"/>
  <c r="E49" i="73"/>
  <c r="M48" i="73"/>
  <c r="P48" i="73" s="1"/>
  <c r="Q48" i="73" s="1"/>
  <c r="F48" i="73"/>
  <c r="E48" i="73"/>
  <c r="M47" i="73"/>
  <c r="P47" i="73" s="1"/>
  <c r="Q47" i="73" s="1"/>
  <c r="F47" i="73"/>
  <c r="G47" i="73" s="1"/>
  <c r="E47" i="73"/>
  <c r="M46" i="73"/>
  <c r="P46" i="73" s="1"/>
  <c r="Q46" i="73" s="1"/>
  <c r="F46" i="73"/>
  <c r="E46" i="73"/>
  <c r="G46" i="73" s="1"/>
  <c r="M45" i="73"/>
  <c r="N45" i="73" s="1"/>
  <c r="F45" i="73"/>
  <c r="E45" i="73"/>
  <c r="M44" i="73"/>
  <c r="P44" i="73" s="1"/>
  <c r="Q44" i="73" s="1"/>
  <c r="F44" i="73"/>
  <c r="E44" i="73"/>
  <c r="M43" i="73"/>
  <c r="P43" i="73" s="1"/>
  <c r="Q43" i="73" s="1"/>
  <c r="F43" i="73"/>
  <c r="E43" i="73"/>
  <c r="M42" i="73"/>
  <c r="P42" i="73" s="1"/>
  <c r="Q42" i="73" s="1"/>
  <c r="F42" i="73"/>
  <c r="E42" i="73"/>
  <c r="M41" i="73"/>
  <c r="N41" i="73" s="1"/>
  <c r="F41" i="73"/>
  <c r="E41" i="73"/>
  <c r="F40" i="73"/>
  <c r="E40" i="73"/>
  <c r="P39" i="73"/>
  <c r="Q39" i="73" s="1"/>
  <c r="F39" i="73"/>
  <c r="E39" i="73"/>
  <c r="M38" i="73"/>
  <c r="P38" i="73" s="1"/>
  <c r="Q38" i="73" s="1"/>
  <c r="F38" i="73"/>
  <c r="E38" i="73"/>
  <c r="M37" i="73"/>
  <c r="N37" i="73" s="1"/>
  <c r="F37" i="73"/>
  <c r="E37" i="73"/>
  <c r="G37" i="73" s="1"/>
  <c r="M36" i="73"/>
  <c r="N36" i="73" s="1"/>
  <c r="F36" i="73"/>
  <c r="E36" i="73"/>
  <c r="M35" i="73"/>
  <c r="P35" i="73" s="1"/>
  <c r="Q35" i="73" s="1"/>
  <c r="F35" i="73"/>
  <c r="E35" i="73"/>
  <c r="G35" i="73" s="1"/>
  <c r="M34" i="73"/>
  <c r="P34" i="73" s="1"/>
  <c r="Q34" i="73" s="1"/>
  <c r="F34" i="73"/>
  <c r="E34" i="73"/>
  <c r="G34" i="73" s="1"/>
  <c r="N33" i="73"/>
  <c r="F33" i="73"/>
  <c r="E33" i="73"/>
  <c r="M32" i="73"/>
  <c r="F32" i="73"/>
  <c r="E32" i="73"/>
  <c r="M31" i="73"/>
  <c r="P31" i="73" s="1"/>
  <c r="Q31" i="73" s="1"/>
  <c r="F31" i="73"/>
  <c r="E31" i="73"/>
  <c r="M30" i="73"/>
  <c r="P30" i="73" s="1"/>
  <c r="Q30" i="73" s="1"/>
  <c r="F30" i="73"/>
  <c r="G30" i="73" s="1"/>
  <c r="E30" i="73"/>
  <c r="M29" i="73"/>
  <c r="N29" i="73" s="1"/>
  <c r="F29" i="73"/>
  <c r="E29" i="73"/>
  <c r="G29" i="73" s="1"/>
  <c r="M28" i="73"/>
  <c r="N28" i="73" s="1"/>
  <c r="F28" i="73"/>
  <c r="E28" i="73"/>
  <c r="G28" i="73" s="1"/>
  <c r="M27" i="73"/>
  <c r="N27" i="73" s="1"/>
  <c r="F27" i="73"/>
  <c r="E27" i="73"/>
  <c r="M26" i="73"/>
  <c r="P26" i="73" s="1"/>
  <c r="Q26" i="73" s="1"/>
  <c r="F26" i="73"/>
  <c r="E26" i="73"/>
  <c r="M25" i="73"/>
  <c r="P25" i="73" s="1"/>
  <c r="Q25" i="73" s="1"/>
  <c r="F25" i="73"/>
  <c r="E25" i="73"/>
  <c r="G25" i="73" s="1"/>
  <c r="M24" i="73"/>
  <c r="P24" i="73" s="1"/>
  <c r="Q24" i="73" s="1"/>
  <c r="F24" i="73"/>
  <c r="E24" i="73"/>
  <c r="G24" i="73" s="1"/>
  <c r="M23" i="73"/>
  <c r="N23" i="73" s="1"/>
  <c r="F23" i="73"/>
  <c r="E23" i="73"/>
  <c r="M22" i="73"/>
  <c r="N22" i="73" s="1"/>
  <c r="F22" i="73"/>
  <c r="E22" i="73"/>
  <c r="G22" i="73" s="1"/>
  <c r="M21" i="73"/>
  <c r="P21" i="73" s="1"/>
  <c r="Q21" i="73" s="1"/>
  <c r="F21" i="73"/>
  <c r="E21" i="73"/>
  <c r="M20" i="73"/>
  <c r="P20" i="73" s="1"/>
  <c r="Q20" i="73" s="1"/>
  <c r="F20" i="73"/>
  <c r="E20" i="73"/>
  <c r="G20" i="73" s="1"/>
  <c r="M19" i="73"/>
  <c r="N19" i="73" s="1"/>
  <c r="F19" i="73"/>
  <c r="E19" i="73"/>
  <c r="M18" i="73"/>
  <c r="P18" i="73" s="1"/>
  <c r="Q18" i="73" s="1"/>
  <c r="F18" i="73"/>
  <c r="E18" i="73"/>
  <c r="G18" i="73" s="1"/>
  <c r="M17" i="73"/>
  <c r="P17" i="73" s="1"/>
  <c r="Q17" i="73" s="1"/>
  <c r="F17" i="73"/>
  <c r="E17" i="73"/>
  <c r="M16" i="73"/>
  <c r="P16" i="73" s="1"/>
  <c r="Q16" i="73" s="1"/>
  <c r="F16" i="73"/>
  <c r="E16" i="73"/>
  <c r="G16" i="73" s="1"/>
  <c r="M15" i="73"/>
  <c r="N15" i="73" s="1"/>
  <c r="F15" i="73"/>
  <c r="E15" i="73"/>
  <c r="M14" i="73"/>
  <c r="N14" i="73" s="1"/>
  <c r="F14" i="73"/>
  <c r="E14" i="73"/>
  <c r="M13" i="73"/>
  <c r="P13" i="73" s="1"/>
  <c r="Q13" i="73" s="1"/>
  <c r="F13" i="73"/>
  <c r="E13" i="73"/>
  <c r="M12" i="73"/>
  <c r="P12" i="73" s="1"/>
  <c r="Q12" i="73" s="1"/>
  <c r="F12" i="73"/>
  <c r="G12" i="73" s="1"/>
  <c r="E12" i="73"/>
  <c r="M11" i="73"/>
  <c r="N11" i="73" s="1"/>
  <c r="F11" i="73"/>
  <c r="E11" i="73"/>
  <c r="M10" i="73"/>
  <c r="P10" i="73" s="1"/>
  <c r="Q10" i="73" s="1"/>
  <c r="F10" i="73"/>
  <c r="E10" i="73"/>
  <c r="M9" i="73"/>
  <c r="P9" i="73" s="1"/>
  <c r="Q9" i="73" s="1"/>
  <c r="F9" i="73"/>
  <c r="E9" i="73"/>
  <c r="M8" i="73"/>
  <c r="P8" i="73" s="1"/>
  <c r="Q8" i="73" s="1"/>
  <c r="F8" i="73"/>
  <c r="E8" i="73"/>
  <c r="M7" i="73"/>
  <c r="N7" i="73" s="1"/>
  <c r="F7" i="73"/>
  <c r="E7" i="73"/>
  <c r="M6" i="73"/>
  <c r="P6" i="73" s="1"/>
  <c r="Q6" i="73" s="1"/>
  <c r="F6" i="73"/>
  <c r="E6" i="73"/>
  <c r="M5" i="73"/>
  <c r="P5" i="73" s="1"/>
  <c r="Q5" i="73" s="1"/>
  <c r="F5" i="73"/>
  <c r="E5" i="73"/>
  <c r="P4" i="73"/>
  <c r="Q4" i="73" s="1"/>
  <c r="N4" i="73"/>
  <c r="M41" i="72"/>
  <c r="P32" i="73" l="1"/>
  <c r="Q32" i="73" s="1"/>
  <c r="N32" i="73"/>
  <c r="G11" i="73"/>
  <c r="G42" i="73"/>
  <c r="G19" i="73"/>
  <c r="G38" i="73"/>
  <c r="G49" i="73"/>
  <c r="G8" i="73"/>
  <c r="G13" i="73"/>
  <c r="P15" i="73"/>
  <c r="Q15" i="73" s="1"/>
  <c r="G26" i="73"/>
  <c r="G27" i="73"/>
  <c r="G31" i="73"/>
  <c r="G56" i="73"/>
  <c r="R59" i="74"/>
  <c r="P11" i="73"/>
  <c r="Q11" i="73" s="1"/>
  <c r="P36" i="73"/>
  <c r="Q36" i="73" s="1"/>
  <c r="N46" i="73"/>
  <c r="N54" i="73"/>
  <c r="P53" i="73"/>
  <c r="Q53" i="73" s="1"/>
  <c r="P52" i="73"/>
  <c r="Q52" i="73" s="1"/>
  <c r="N50" i="73"/>
  <c r="P49" i="73"/>
  <c r="Q49" i="73" s="1"/>
  <c r="P45" i="73"/>
  <c r="Q45" i="73" s="1"/>
  <c r="N44" i="73"/>
  <c r="P41" i="73"/>
  <c r="Q41" i="73" s="1"/>
  <c r="N40" i="73"/>
  <c r="P37" i="73"/>
  <c r="Q37" i="73" s="1"/>
  <c r="P28" i="73"/>
  <c r="Q28" i="73" s="1"/>
  <c r="N24" i="73"/>
  <c r="P22" i="73"/>
  <c r="Q22" i="73" s="1"/>
  <c r="N20" i="73"/>
  <c r="P19" i="73"/>
  <c r="Q19" i="73" s="1"/>
  <c r="N16" i="73"/>
  <c r="P7" i="73"/>
  <c r="Q7" i="73" s="1"/>
  <c r="N6" i="73"/>
  <c r="N30" i="73"/>
  <c r="N34" i="73"/>
  <c r="G48" i="73"/>
  <c r="G52" i="73"/>
  <c r="G55" i="73"/>
  <c r="P23" i="73"/>
  <c r="Q23" i="73" s="1"/>
  <c r="F58" i="73"/>
  <c r="G7" i="73"/>
  <c r="N8" i="73"/>
  <c r="N12" i="73"/>
  <c r="P14" i="73"/>
  <c r="Q14" i="73" s="1"/>
  <c r="N38" i="73"/>
  <c r="N42" i="73"/>
  <c r="E58" i="73"/>
  <c r="G9" i="73"/>
  <c r="N18" i="73"/>
  <c r="P29" i="73"/>
  <c r="Q29" i="73" s="1"/>
  <c r="P33" i="73"/>
  <c r="Q33" i="73" s="1"/>
  <c r="G39" i="73"/>
  <c r="G41" i="73"/>
  <c r="G43" i="73"/>
  <c r="N48" i="73"/>
  <c r="G6" i="73"/>
  <c r="G15" i="73"/>
  <c r="G32" i="73"/>
  <c r="G36" i="73"/>
  <c r="G45" i="73"/>
  <c r="N10" i="73"/>
  <c r="P27" i="73"/>
  <c r="Q27" i="73" s="1"/>
  <c r="G33" i="73"/>
  <c r="G17" i="73"/>
  <c r="G21" i="73"/>
  <c r="N26" i="73"/>
  <c r="G51" i="73"/>
  <c r="N56" i="73"/>
  <c r="H64" i="73"/>
  <c r="G10" i="73"/>
  <c r="G14" i="73"/>
  <c r="G23" i="73"/>
  <c r="G40" i="73"/>
  <c r="G44" i="73"/>
  <c r="G53" i="73"/>
  <c r="N9" i="73"/>
  <c r="N17" i="73"/>
  <c r="N25" i="73"/>
  <c r="N31" i="73"/>
  <c r="N39" i="73"/>
  <c r="N47" i="73"/>
  <c r="N55" i="73"/>
  <c r="G5" i="73"/>
  <c r="N5" i="73"/>
  <c r="N13" i="73"/>
  <c r="N21" i="73"/>
  <c r="N35" i="73"/>
  <c r="N43" i="73"/>
  <c r="N51" i="73"/>
  <c r="M58" i="73"/>
  <c r="H61" i="73" s="1"/>
  <c r="M56" i="72"/>
  <c r="P56" i="72" s="1"/>
  <c r="Q56" i="72" s="1"/>
  <c r="F56" i="72"/>
  <c r="E56" i="72"/>
  <c r="G56" i="72" s="1"/>
  <c r="H64" i="72"/>
  <c r="H63" i="72"/>
  <c r="H65" i="72" s="1"/>
  <c r="L59" i="72"/>
  <c r="K59" i="72"/>
  <c r="J59" i="72"/>
  <c r="J61" i="72" s="1"/>
  <c r="I59" i="72"/>
  <c r="I61" i="72" s="1"/>
  <c r="H59" i="72"/>
  <c r="J70" i="72" s="1"/>
  <c r="D59" i="72"/>
  <c r="C59" i="72"/>
  <c r="M57" i="72"/>
  <c r="P57" i="72" s="1"/>
  <c r="Q57" i="72" s="1"/>
  <c r="F57" i="72"/>
  <c r="E57" i="72"/>
  <c r="M55" i="72"/>
  <c r="P55" i="72" s="1"/>
  <c r="Q55" i="72" s="1"/>
  <c r="F55" i="72"/>
  <c r="E55" i="72"/>
  <c r="M54" i="72"/>
  <c r="P54" i="72" s="1"/>
  <c r="Q54" i="72" s="1"/>
  <c r="F54" i="72"/>
  <c r="E54" i="72"/>
  <c r="G54" i="72" s="1"/>
  <c r="M53" i="72"/>
  <c r="P53" i="72" s="1"/>
  <c r="Q53" i="72" s="1"/>
  <c r="F53" i="72"/>
  <c r="E53" i="72"/>
  <c r="M52" i="72"/>
  <c r="N52" i="72" s="1"/>
  <c r="F52" i="72"/>
  <c r="E52" i="72"/>
  <c r="M51" i="72"/>
  <c r="P51" i="72" s="1"/>
  <c r="Q51" i="72" s="1"/>
  <c r="F51" i="72"/>
  <c r="E51" i="72"/>
  <c r="M50" i="72"/>
  <c r="P50" i="72" s="1"/>
  <c r="Q50" i="72" s="1"/>
  <c r="F50" i="72"/>
  <c r="E50" i="72"/>
  <c r="M49" i="72"/>
  <c r="P49" i="72" s="1"/>
  <c r="Q49" i="72" s="1"/>
  <c r="F49" i="72"/>
  <c r="E49" i="72"/>
  <c r="M48" i="72"/>
  <c r="P48" i="72" s="1"/>
  <c r="Q48" i="72" s="1"/>
  <c r="F48" i="72"/>
  <c r="E48" i="72"/>
  <c r="M47" i="72"/>
  <c r="P47" i="72" s="1"/>
  <c r="Q47" i="72" s="1"/>
  <c r="F47" i="72"/>
  <c r="E47" i="72"/>
  <c r="M46" i="72"/>
  <c r="P46" i="72" s="1"/>
  <c r="Q46" i="72" s="1"/>
  <c r="F46" i="72"/>
  <c r="E46" i="72"/>
  <c r="G46" i="72" s="1"/>
  <c r="M45" i="72"/>
  <c r="P45" i="72" s="1"/>
  <c r="Q45" i="72" s="1"/>
  <c r="F45" i="72"/>
  <c r="E45" i="72"/>
  <c r="M44" i="72"/>
  <c r="N44" i="72" s="1"/>
  <c r="F44" i="72"/>
  <c r="E44" i="72"/>
  <c r="M43" i="72"/>
  <c r="N43" i="72" s="1"/>
  <c r="F43" i="72"/>
  <c r="E43" i="72"/>
  <c r="G43" i="72" s="1"/>
  <c r="M42" i="72"/>
  <c r="P42" i="72" s="1"/>
  <c r="Q42" i="72" s="1"/>
  <c r="F42" i="72"/>
  <c r="E42" i="72"/>
  <c r="P41" i="72"/>
  <c r="Q41" i="72" s="1"/>
  <c r="G41" i="72"/>
  <c r="F41" i="72"/>
  <c r="E41" i="72"/>
  <c r="M40" i="72"/>
  <c r="P40" i="72" s="1"/>
  <c r="Q40" i="72" s="1"/>
  <c r="F40" i="72"/>
  <c r="G40" i="72" s="1"/>
  <c r="E40" i="72"/>
  <c r="M39" i="72"/>
  <c r="P39" i="72" s="1"/>
  <c r="Q39" i="72" s="1"/>
  <c r="F39" i="72"/>
  <c r="E39" i="72"/>
  <c r="M38" i="72"/>
  <c r="P38" i="72" s="1"/>
  <c r="Q38" i="72" s="1"/>
  <c r="F38" i="72"/>
  <c r="E38" i="72"/>
  <c r="M37" i="72"/>
  <c r="P37" i="72" s="1"/>
  <c r="Q37" i="72" s="1"/>
  <c r="F37" i="72"/>
  <c r="E37" i="72"/>
  <c r="G37" i="72" s="1"/>
  <c r="M36" i="72"/>
  <c r="N36" i="72" s="1"/>
  <c r="F36" i="72"/>
  <c r="E36" i="72"/>
  <c r="M35" i="72"/>
  <c r="P35" i="72" s="1"/>
  <c r="Q35" i="72" s="1"/>
  <c r="F35" i="72"/>
  <c r="G35" i="72" s="1"/>
  <c r="E35" i="72"/>
  <c r="M34" i="72"/>
  <c r="P34" i="72" s="1"/>
  <c r="Q34" i="72" s="1"/>
  <c r="F34" i="72"/>
  <c r="E34" i="72"/>
  <c r="M33" i="72"/>
  <c r="P33" i="72" s="1"/>
  <c r="Q33" i="72" s="1"/>
  <c r="F33" i="72"/>
  <c r="E33" i="72"/>
  <c r="M32" i="72"/>
  <c r="P32" i="72" s="1"/>
  <c r="Q32" i="72" s="1"/>
  <c r="F32" i="72"/>
  <c r="E32" i="72"/>
  <c r="M31" i="72"/>
  <c r="P31" i="72" s="1"/>
  <c r="Q31" i="72" s="1"/>
  <c r="F31" i="72"/>
  <c r="E31" i="72"/>
  <c r="M30" i="72"/>
  <c r="N30" i="72" s="1"/>
  <c r="F30" i="72"/>
  <c r="E30" i="72"/>
  <c r="G30" i="72" s="1"/>
  <c r="M29" i="72"/>
  <c r="P29" i="72" s="1"/>
  <c r="Q29" i="72" s="1"/>
  <c r="F29" i="72"/>
  <c r="E29" i="72"/>
  <c r="G29" i="72" s="1"/>
  <c r="N28" i="72"/>
  <c r="F28" i="72"/>
  <c r="E28" i="72"/>
  <c r="G28" i="72" s="1"/>
  <c r="M27" i="72"/>
  <c r="P27" i="72" s="1"/>
  <c r="Q27" i="72" s="1"/>
  <c r="G27" i="72"/>
  <c r="F27" i="72"/>
  <c r="E27" i="72"/>
  <c r="M26" i="72"/>
  <c r="P26" i="72" s="1"/>
  <c r="Q26" i="72" s="1"/>
  <c r="F26" i="72"/>
  <c r="G26" i="72" s="1"/>
  <c r="E26" i="72"/>
  <c r="M25" i="72"/>
  <c r="N25" i="72" s="1"/>
  <c r="F25" i="72"/>
  <c r="E25" i="72"/>
  <c r="M24" i="72"/>
  <c r="P24" i="72" s="1"/>
  <c r="Q24" i="72" s="1"/>
  <c r="F24" i="72"/>
  <c r="E24" i="72"/>
  <c r="M23" i="72"/>
  <c r="P23" i="72" s="1"/>
  <c r="Q23" i="72" s="1"/>
  <c r="F23" i="72"/>
  <c r="E23" i="72"/>
  <c r="G23" i="72" s="1"/>
  <c r="M22" i="72"/>
  <c r="N22" i="72" s="1"/>
  <c r="F22" i="72"/>
  <c r="E22" i="72"/>
  <c r="M21" i="72"/>
  <c r="P21" i="72" s="1"/>
  <c r="Q21" i="72" s="1"/>
  <c r="F21" i="72"/>
  <c r="E21" i="72"/>
  <c r="G21" i="72" s="1"/>
  <c r="M20" i="72"/>
  <c r="N20" i="72" s="1"/>
  <c r="F20" i="72"/>
  <c r="E20" i="72"/>
  <c r="G20" i="72" s="1"/>
  <c r="M19" i="72"/>
  <c r="P19" i="72" s="1"/>
  <c r="Q19" i="72" s="1"/>
  <c r="F19" i="72"/>
  <c r="E19" i="72"/>
  <c r="G19" i="72" s="1"/>
  <c r="M18" i="72"/>
  <c r="P18" i="72" s="1"/>
  <c r="Q18" i="72" s="1"/>
  <c r="F18" i="72"/>
  <c r="E18" i="72"/>
  <c r="M17" i="72"/>
  <c r="N17" i="72" s="1"/>
  <c r="F17" i="72"/>
  <c r="G17" i="72" s="1"/>
  <c r="E17" i="72"/>
  <c r="M16" i="72"/>
  <c r="P16" i="72" s="1"/>
  <c r="Q16" i="72" s="1"/>
  <c r="F16" i="72"/>
  <c r="E16" i="72"/>
  <c r="M15" i="72"/>
  <c r="P15" i="72" s="1"/>
  <c r="Q15" i="72" s="1"/>
  <c r="F15" i="72"/>
  <c r="E15" i="72"/>
  <c r="G15" i="72" s="1"/>
  <c r="M14" i="72"/>
  <c r="N14" i="72" s="1"/>
  <c r="F14" i="72"/>
  <c r="E14" i="72"/>
  <c r="G14" i="72" s="1"/>
  <c r="M13" i="72"/>
  <c r="P13" i="72" s="1"/>
  <c r="Q13" i="72" s="1"/>
  <c r="F13" i="72"/>
  <c r="E13" i="72"/>
  <c r="M12" i="72"/>
  <c r="N12" i="72" s="1"/>
  <c r="F12" i="72"/>
  <c r="E12" i="72"/>
  <c r="M11" i="72"/>
  <c r="P11" i="72" s="1"/>
  <c r="Q11" i="72" s="1"/>
  <c r="F11" i="72"/>
  <c r="E11" i="72"/>
  <c r="M10" i="72"/>
  <c r="N10" i="72" s="1"/>
  <c r="F10" i="72"/>
  <c r="E10" i="72"/>
  <c r="M9" i="72"/>
  <c r="P9" i="72" s="1"/>
  <c r="Q9" i="72" s="1"/>
  <c r="F9" i="72"/>
  <c r="E9" i="72"/>
  <c r="M8" i="72"/>
  <c r="P8" i="72" s="1"/>
  <c r="Q8" i="72" s="1"/>
  <c r="F8" i="72"/>
  <c r="E8" i="72"/>
  <c r="M7" i="72"/>
  <c r="P7" i="72" s="1"/>
  <c r="Q7" i="72" s="1"/>
  <c r="F7" i="72"/>
  <c r="E7" i="72"/>
  <c r="M6" i="72"/>
  <c r="N6" i="72" s="1"/>
  <c r="F6" i="72"/>
  <c r="E6" i="72"/>
  <c r="M5" i="72"/>
  <c r="P5" i="72" s="1"/>
  <c r="Q5" i="72" s="1"/>
  <c r="F5" i="72"/>
  <c r="E5" i="72"/>
  <c r="P4" i="72"/>
  <c r="Q4" i="72" s="1"/>
  <c r="N4" i="72"/>
  <c r="M40" i="71"/>
  <c r="P40" i="71" s="1"/>
  <c r="Q40" i="71" s="1"/>
  <c r="M43" i="71"/>
  <c r="P43" i="71" s="1"/>
  <c r="Q43" i="71" s="1"/>
  <c r="M55" i="71"/>
  <c r="P55" i="71" s="1"/>
  <c r="Q55" i="71" s="1"/>
  <c r="F55" i="71"/>
  <c r="E55" i="71"/>
  <c r="G55" i="71" s="1"/>
  <c r="H63" i="71"/>
  <c r="H62" i="71"/>
  <c r="L58" i="71"/>
  <c r="K58" i="71"/>
  <c r="J58" i="71"/>
  <c r="J60" i="71" s="1"/>
  <c r="I58" i="71"/>
  <c r="I60" i="71" s="1"/>
  <c r="H58" i="71"/>
  <c r="J69" i="71" s="1"/>
  <c r="D58" i="71"/>
  <c r="C58" i="71"/>
  <c r="M56" i="71"/>
  <c r="N56" i="71" s="1"/>
  <c r="F56" i="71"/>
  <c r="E56" i="71"/>
  <c r="M54" i="71"/>
  <c r="P54" i="71" s="1"/>
  <c r="Q54" i="71" s="1"/>
  <c r="F54" i="71"/>
  <c r="E54" i="71"/>
  <c r="M53" i="71"/>
  <c r="N53" i="71" s="1"/>
  <c r="F53" i="71"/>
  <c r="E53" i="71"/>
  <c r="G53" i="71" s="1"/>
  <c r="M52" i="71"/>
  <c r="P52" i="71" s="1"/>
  <c r="Q52" i="71" s="1"/>
  <c r="F52" i="71"/>
  <c r="E52" i="71"/>
  <c r="M51" i="71"/>
  <c r="P51" i="71" s="1"/>
  <c r="Q51" i="71" s="1"/>
  <c r="F51" i="71"/>
  <c r="E51" i="71"/>
  <c r="M50" i="71"/>
  <c r="P50" i="71" s="1"/>
  <c r="Q50" i="71" s="1"/>
  <c r="F50" i="71"/>
  <c r="E50" i="71"/>
  <c r="M49" i="71"/>
  <c r="N49" i="71" s="1"/>
  <c r="F49" i="71"/>
  <c r="E49" i="71"/>
  <c r="G49" i="71" s="1"/>
  <c r="M48" i="71"/>
  <c r="P48" i="71" s="1"/>
  <c r="Q48" i="71" s="1"/>
  <c r="F48" i="71"/>
  <c r="E48" i="71"/>
  <c r="M47" i="71"/>
  <c r="N47" i="71" s="1"/>
  <c r="F47" i="71"/>
  <c r="E47" i="71"/>
  <c r="G47" i="71" s="1"/>
  <c r="M46" i="71"/>
  <c r="P46" i="71" s="1"/>
  <c r="Q46" i="71" s="1"/>
  <c r="F46" i="71"/>
  <c r="E46" i="71"/>
  <c r="M45" i="71"/>
  <c r="N45" i="71" s="1"/>
  <c r="F45" i="71"/>
  <c r="E45" i="71"/>
  <c r="M44" i="71"/>
  <c r="P44" i="71" s="1"/>
  <c r="Q44" i="71" s="1"/>
  <c r="F44" i="71"/>
  <c r="E44" i="71"/>
  <c r="F43" i="71"/>
  <c r="E43" i="71"/>
  <c r="M42" i="71"/>
  <c r="P42" i="71" s="1"/>
  <c r="Q42" i="71" s="1"/>
  <c r="F42" i="71"/>
  <c r="E42" i="71"/>
  <c r="M41" i="71"/>
  <c r="N41" i="71" s="1"/>
  <c r="F41" i="71"/>
  <c r="E41" i="71"/>
  <c r="F40" i="71"/>
  <c r="E40" i="71"/>
  <c r="M39" i="71"/>
  <c r="N39" i="71" s="1"/>
  <c r="F39" i="71"/>
  <c r="E39" i="71"/>
  <c r="G39" i="71" s="1"/>
  <c r="M38" i="71"/>
  <c r="P38" i="71" s="1"/>
  <c r="Q38" i="71" s="1"/>
  <c r="F38" i="71"/>
  <c r="E38" i="71"/>
  <c r="M37" i="71"/>
  <c r="N37" i="71" s="1"/>
  <c r="F37" i="71"/>
  <c r="E37" i="71"/>
  <c r="G37" i="71" s="1"/>
  <c r="M36" i="71"/>
  <c r="P36" i="71" s="1"/>
  <c r="Q36" i="71" s="1"/>
  <c r="F36" i="71"/>
  <c r="E36" i="71"/>
  <c r="G36" i="71" s="1"/>
  <c r="M35" i="71"/>
  <c r="P35" i="71" s="1"/>
  <c r="Q35" i="71" s="1"/>
  <c r="F35" i="71"/>
  <c r="E35" i="71"/>
  <c r="M34" i="71"/>
  <c r="P34" i="71" s="1"/>
  <c r="Q34" i="71" s="1"/>
  <c r="F34" i="71"/>
  <c r="E34" i="71"/>
  <c r="M33" i="71"/>
  <c r="N33" i="71" s="1"/>
  <c r="F33" i="71"/>
  <c r="E33" i="71"/>
  <c r="G33" i="71" s="1"/>
  <c r="M32" i="71"/>
  <c r="P32" i="71" s="1"/>
  <c r="Q32" i="71" s="1"/>
  <c r="F32" i="71"/>
  <c r="E32" i="71"/>
  <c r="M31" i="71"/>
  <c r="N31" i="71" s="1"/>
  <c r="F31" i="71"/>
  <c r="E31" i="71"/>
  <c r="M30" i="71"/>
  <c r="P30" i="71" s="1"/>
  <c r="Q30" i="71" s="1"/>
  <c r="F30" i="71"/>
  <c r="E30" i="71"/>
  <c r="M29" i="71"/>
  <c r="P29" i="71" s="1"/>
  <c r="Q29" i="71" s="1"/>
  <c r="F29" i="71"/>
  <c r="E29" i="71"/>
  <c r="M28" i="71"/>
  <c r="P28" i="71" s="1"/>
  <c r="Q28" i="71" s="1"/>
  <c r="F28" i="71"/>
  <c r="E28" i="71"/>
  <c r="G28" i="71" s="1"/>
  <c r="M27" i="71"/>
  <c r="P27" i="71" s="1"/>
  <c r="Q27" i="71" s="1"/>
  <c r="F27" i="71"/>
  <c r="E27" i="71"/>
  <c r="M26" i="71"/>
  <c r="P26" i="71" s="1"/>
  <c r="Q26" i="71" s="1"/>
  <c r="F26" i="71"/>
  <c r="E26" i="71"/>
  <c r="M25" i="71"/>
  <c r="N25" i="71" s="1"/>
  <c r="F25" i="71"/>
  <c r="E25" i="71"/>
  <c r="M24" i="71"/>
  <c r="P24" i="71" s="1"/>
  <c r="Q24" i="71" s="1"/>
  <c r="F24" i="71"/>
  <c r="E24" i="71"/>
  <c r="M23" i="71"/>
  <c r="N23" i="71" s="1"/>
  <c r="F23" i="71"/>
  <c r="E23" i="71"/>
  <c r="M22" i="71"/>
  <c r="P22" i="71" s="1"/>
  <c r="Q22" i="71" s="1"/>
  <c r="F22" i="71"/>
  <c r="E22" i="71"/>
  <c r="M21" i="71"/>
  <c r="N21" i="71" s="1"/>
  <c r="F21" i="71"/>
  <c r="E21" i="71"/>
  <c r="M20" i="71"/>
  <c r="P20" i="71" s="1"/>
  <c r="Q20" i="71" s="1"/>
  <c r="F20" i="71"/>
  <c r="E20" i="71"/>
  <c r="M19" i="71"/>
  <c r="N19" i="71" s="1"/>
  <c r="F19" i="71"/>
  <c r="E19" i="71"/>
  <c r="M18" i="71"/>
  <c r="P18" i="71" s="1"/>
  <c r="Q18" i="71" s="1"/>
  <c r="F18" i="71"/>
  <c r="E18" i="71"/>
  <c r="M17" i="71"/>
  <c r="N17" i="71" s="1"/>
  <c r="F17" i="71"/>
  <c r="E17" i="71"/>
  <c r="G17" i="71" s="1"/>
  <c r="M16" i="71"/>
  <c r="P16" i="71" s="1"/>
  <c r="Q16" i="71" s="1"/>
  <c r="F16" i="71"/>
  <c r="E16" i="71"/>
  <c r="M15" i="71"/>
  <c r="N15" i="71" s="1"/>
  <c r="F15" i="71"/>
  <c r="E15" i="71"/>
  <c r="M14" i="71"/>
  <c r="P14" i="71" s="1"/>
  <c r="Q14" i="71" s="1"/>
  <c r="F14" i="71"/>
  <c r="G14" i="71" s="1"/>
  <c r="E14" i="71"/>
  <c r="M13" i="71"/>
  <c r="P13" i="71" s="1"/>
  <c r="Q13" i="71" s="1"/>
  <c r="F13" i="71"/>
  <c r="E13" i="71"/>
  <c r="G13" i="71" s="1"/>
  <c r="M12" i="71"/>
  <c r="P12" i="71" s="1"/>
  <c r="Q12" i="71" s="1"/>
  <c r="F12" i="71"/>
  <c r="E12" i="71"/>
  <c r="M11" i="71"/>
  <c r="N11" i="71" s="1"/>
  <c r="F11" i="71"/>
  <c r="E11" i="71"/>
  <c r="G11" i="71" s="1"/>
  <c r="M10" i="71"/>
  <c r="P10" i="71" s="1"/>
  <c r="Q10" i="71" s="1"/>
  <c r="F10" i="71"/>
  <c r="E10" i="71"/>
  <c r="M9" i="71"/>
  <c r="N9" i="71" s="1"/>
  <c r="F9" i="71"/>
  <c r="E9" i="71"/>
  <c r="M8" i="71"/>
  <c r="N8" i="71" s="1"/>
  <c r="F8" i="71"/>
  <c r="E8" i="71"/>
  <c r="G8" i="71" s="1"/>
  <c r="M7" i="71"/>
  <c r="N7" i="71" s="1"/>
  <c r="F7" i="71"/>
  <c r="E7" i="71"/>
  <c r="M6" i="71"/>
  <c r="N6" i="71" s="1"/>
  <c r="F6" i="71"/>
  <c r="E6" i="71"/>
  <c r="M5" i="71"/>
  <c r="P5" i="71" s="1"/>
  <c r="Q5" i="71" s="1"/>
  <c r="F5" i="71"/>
  <c r="E5" i="71"/>
  <c r="P4" i="71"/>
  <c r="Q4" i="71" s="1"/>
  <c r="N4" i="71"/>
  <c r="Q39" i="70"/>
  <c r="G16" i="72" l="1"/>
  <c r="G15" i="71"/>
  <c r="G23" i="71"/>
  <c r="G43" i="71"/>
  <c r="G50" i="71"/>
  <c r="G11" i="72"/>
  <c r="G24" i="72"/>
  <c r="G33" i="72"/>
  <c r="G58" i="73"/>
  <c r="G51" i="71"/>
  <c r="G25" i="72"/>
  <c r="G48" i="72"/>
  <c r="G22" i="71"/>
  <c r="G30" i="71"/>
  <c r="G41" i="71"/>
  <c r="G44" i="71"/>
  <c r="G52" i="71"/>
  <c r="G5" i="72"/>
  <c r="G9" i="72"/>
  <c r="G18" i="72"/>
  <c r="G22" i="72"/>
  <c r="G31" i="72"/>
  <c r="G32" i="72"/>
  <c r="G36" i="72"/>
  <c r="G49" i="72"/>
  <c r="G53" i="72"/>
  <c r="Q58" i="73"/>
  <c r="N58" i="73"/>
  <c r="P58" i="73"/>
  <c r="P12" i="72"/>
  <c r="Q12" i="72" s="1"/>
  <c r="N8" i="72"/>
  <c r="N27" i="72"/>
  <c r="P43" i="72"/>
  <c r="Q43" i="72" s="1"/>
  <c r="N35" i="72"/>
  <c r="N32" i="72"/>
  <c r="N24" i="72"/>
  <c r="N16" i="72"/>
  <c r="P28" i="72"/>
  <c r="Q28" i="72" s="1"/>
  <c r="N51" i="72"/>
  <c r="N19" i="72"/>
  <c r="P6" i="72"/>
  <c r="Q6" i="72" s="1"/>
  <c r="P22" i="72"/>
  <c r="Q22" i="72" s="1"/>
  <c r="N40" i="72"/>
  <c r="P44" i="72"/>
  <c r="Q44" i="72" s="1"/>
  <c r="N57" i="72"/>
  <c r="P30" i="72"/>
  <c r="Q30" i="72" s="1"/>
  <c r="P20" i="72"/>
  <c r="Q20" i="72" s="1"/>
  <c r="N54" i="72"/>
  <c r="P14" i="72"/>
  <c r="Q14" i="72" s="1"/>
  <c r="P36" i="72"/>
  <c r="Q36" i="72" s="1"/>
  <c r="N56" i="72"/>
  <c r="F59" i="72"/>
  <c r="N11" i="72"/>
  <c r="N21" i="72"/>
  <c r="N29" i="72"/>
  <c r="G34" i="72"/>
  <c r="G38" i="72"/>
  <c r="G47" i="72"/>
  <c r="G6" i="72"/>
  <c r="G8" i="72"/>
  <c r="G10" i="72"/>
  <c r="G12" i="72"/>
  <c r="G45" i="72"/>
  <c r="G57" i="72"/>
  <c r="G39" i="72"/>
  <c r="G50" i="72"/>
  <c r="G52" i="72"/>
  <c r="G7" i="72"/>
  <c r="G13" i="72"/>
  <c r="G42" i="72"/>
  <c r="G44" i="72"/>
  <c r="N48" i="72"/>
  <c r="G51" i="72"/>
  <c r="P52" i="72"/>
  <c r="Q52" i="72" s="1"/>
  <c r="G55" i="72"/>
  <c r="G59" i="72"/>
  <c r="P25" i="72"/>
  <c r="Q25" i="72" s="1"/>
  <c r="N7" i="72"/>
  <c r="N15" i="72"/>
  <c r="N23" i="72"/>
  <c r="N31" i="72"/>
  <c r="N39" i="72"/>
  <c r="N47" i="72"/>
  <c r="N55" i="72"/>
  <c r="N26" i="72"/>
  <c r="N50" i="72"/>
  <c r="P17" i="72"/>
  <c r="Q17" i="72" s="1"/>
  <c r="N38" i="72"/>
  <c r="N46" i="72"/>
  <c r="N18" i="72"/>
  <c r="N34" i="72"/>
  <c r="N5" i="72"/>
  <c r="N13" i="72"/>
  <c r="N37" i="72"/>
  <c r="N45" i="72"/>
  <c r="N53" i="72"/>
  <c r="E59" i="72"/>
  <c r="N42" i="72"/>
  <c r="N9" i="72"/>
  <c r="P10" i="72"/>
  <c r="Q10" i="72" s="1"/>
  <c r="N33" i="72"/>
  <c r="N41" i="72"/>
  <c r="N49" i="72"/>
  <c r="M59" i="72"/>
  <c r="H62" i="72" s="1"/>
  <c r="P8" i="71"/>
  <c r="Q8" i="71" s="1"/>
  <c r="G20" i="71"/>
  <c r="G56" i="71"/>
  <c r="G5" i="71"/>
  <c r="N18" i="71"/>
  <c r="G19" i="71"/>
  <c r="G27" i="71"/>
  <c r="G35" i="71"/>
  <c r="P7" i="71"/>
  <c r="Q7" i="71" s="1"/>
  <c r="P21" i="71"/>
  <c r="Q21" i="71" s="1"/>
  <c r="G42" i="71"/>
  <c r="N46" i="71"/>
  <c r="G6" i="71"/>
  <c r="N30" i="71"/>
  <c r="H64" i="71"/>
  <c r="G45" i="71"/>
  <c r="N16" i="71"/>
  <c r="N29" i="71"/>
  <c r="G12" i="71"/>
  <c r="N22" i="71"/>
  <c r="N24" i="71"/>
  <c r="G34" i="71"/>
  <c r="N38" i="71"/>
  <c r="N55" i="71"/>
  <c r="G9" i="71"/>
  <c r="N10" i="71"/>
  <c r="G25" i="71"/>
  <c r="G31" i="71"/>
  <c r="N32" i="71"/>
  <c r="G54" i="71"/>
  <c r="P9" i="71"/>
  <c r="Q9" i="71" s="1"/>
  <c r="P15" i="71"/>
  <c r="Q15" i="71" s="1"/>
  <c r="P31" i="71"/>
  <c r="Q31" i="71" s="1"/>
  <c r="P37" i="71"/>
  <c r="Q37" i="71" s="1"/>
  <c r="P45" i="71"/>
  <c r="Q45" i="71" s="1"/>
  <c r="P23" i="71"/>
  <c r="Q23" i="71" s="1"/>
  <c r="G16" i="71"/>
  <c r="P17" i="71"/>
  <c r="Q17" i="71" s="1"/>
  <c r="G24" i="71"/>
  <c r="G26" i="71"/>
  <c r="G38" i="71"/>
  <c r="P39" i="71"/>
  <c r="Q39" i="71" s="1"/>
  <c r="G46" i="71"/>
  <c r="P47" i="71"/>
  <c r="Q47" i="71" s="1"/>
  <c r="E58" i="71"/>
  <c r="G7" i="71"/>
  <c r="G10" i="71"/>
  <c r="G21" i="71"/>
  <c r="G32" i="71"/>
  <c r="F58" i="71"/>
  <c r="G18" i="71"/>
  <c r="G29" i="71"/>
  <c r="G40" i="71"/>
  <c r="G48" i="71"/>
  <c r="P53" i="71"/>
  <c r="Q53" i="71" s="1"/>
  <c r="N14" i="71"/>
  <c r="N5" i="71"/>
  <c r="P11" i="71"/>
  <c r="Q11" i="71" s="1"/>
  <c r="P19" i="71"/>
  <c r="Q19" i="71" s="1"/>
  <c r="P25" i="71"/>
  <c r="Q25" i="71" s="1"/>
  <c r="P33" i="71"/>
  <c r="Q33" i="71" s="1"/>
  <c r="N40" i="71"/>
  <c r="P41" i="71"/>
  <c r="Q41" i="71" s="1"/>
  <c r="N48" i="71"/>
  <c r="P49" i="71"/>
  <c r="Q49" i="71" s="1"/>
  <c r="N54" i="71"/>
  <c r="P56" i="71"/>
  <c r="Q56" i="71" s="1"/>
  <c r="P6" i="71"/>
  <c r="Q6" i="71" s="1"/>
  <c r="N28" i="71"/>
  <c r="N36" i="71"/>
  <c r="N44" i="71"/>
  <c r="N52" i="71"/>
  <c r="M58" i="71"/>
  <c r="H61" i="71" s="1"/>
  <c r="N13" i="71"/>
  <c r="N27" i="71"/>
  <c r="N35" i="71"/>
  <c r="N43" i="71"/>
  <c r="N51" i="71"/>
  <c r="N12" i="71"/>
  <c r="N20" i="71"/>
  <c r="N26" i="71"/>
  <c r="N34" i="71"/>
  <c r="N42" i="71"/>
  <c r="N50" i="71"/>
  <c r="O54" i="70"/>
  <c r="Q54" i="70" s="1"/>
  <c r="O53" i="70"/>
  <c r="O52" i="70"/>
  <c r="O50" i="70"/>
  <c r="O49" i="70"/>
  <c r="Q49" i="70" s="1"/>
  <c r="O48" i="70"/>
  <c r="O47" i="70"/>
  <c r="O46" i="70"/>
  <c r="Q46" i="70" s="1"/>
  <c r="O45" i="70"/>
  <c r="Q45" i="70" s="1"/>
  <c r="O44" i="70"/>
  <c r="O43" i="70"/>
  <c r="O42" i="70"/>
  <c r="Q42" i="70" s="1"/>
  <c r="O41" i="70"/>
  <c r="Q41" i="70" s="1"/>
  <c r="O40" i="70"/>
  <c r="S39" i="70"/>
  <c r="T39" i="70" s="1"/>
  <c r="O37" i="70"/>
  <c r="O35" i="70"/>
  <c r="Q35" i="70" s="1"/>
  <c r="O34" i="70"/>
  <c r="O33" i="70"/>
  <c r="O32" i="70"/>
  <c r="O31" i="70"/>
  <c r="Q31" i="70" s="1"/>
  <c r="O30" i="70"/>
  <c r="O29" i="70"/>
  <c r="O28" i="70"/>
  <c r="O27" i="70"/>
  <c r="Q27" i="70" s="1"/>
  <c r="O26" i="70"/>
  <c r="O25" i="70"/>
  <c r="Q25" i="70" s="1"/>
  <c r="O24" i="70"/>
  <c r="O23" i="70"/>
  <c r="Q23" i="70" s="1"/>
  <c r="O22" i="70"/>
  <c r="O21" i="70"/>
  <c r="Q21" i="70" s="1"/>
  <c r="O20" i="70"/>
  <c r="O19" i="70"/>
  <c r="Q19" i="70" s="1"/>
  <c r="O18" i="70"/>
  <c r="O17" i="70"/>
  <c r="Q17" i="70" s="1"/>
  <c r="O16" i="70"/>
  <c r="O15" i="70"/>
  <c r="Q15" i="70" s="1"/>
  <c r="O14" i="70"/>
  <c r="O13" i="70"/>
  <c r="Q13" i="70" s="1"/>
  <c r="O12" i="70"/>
  <c r="O11" i="70"/>
  <c r="Q11" i="70" s="1"/>
  <c r="O10" i="70"/>
  <c r="O9" i="70"/>
  <c r="Q9" i="70" s="1"/>
  <c r="O8" i="70"/>
  <c r="O7" i="70"/>
  <c r="Q7" i="70" s="1"/>
  <c r="O6" i="70"/>
  <c r="O5" i="70"/>
  <c r="Q5" i="70" s="1"/>
  <c r="O4" i="70"/>
  <c r="J56" i="70"/>
  <c r="I56" i="70"/>
  <c r="M64" i="70" s="1"/>
  <c r="H61" i="70"/>
  <c r="H60" i="70"/>
  <c r="H62" i="70" s="1"/>
  <c r="L56" i="70"/>
  <c r="L58" i="70" s="1"/>
  <c r="K56" i="70"/>
  <c r="K58" i="70" s="1"/>
  <c r="H56" i="70"/>
  <c r="D56" i="70"/>
  <c r="C56" i="70"/>
  <c r="F54" i="70"/>
  <c r="E54" i="70"/>
  <c r="F53" i="70"/>
  <c r="E53" i="70"/>
  <c r="F52" i="70"/>
  <c r="E52" i="70"/>
  <c r="N51" i="70"/>
  <c r="N56" i="70" s="1"/>
  <c r="F51" i="70"/>
  <c r="E51" i="70"/>
  <c r="F50" i="70"/>
  <c r="E50" i="70"/>
  <c r="F49" i="70"/>
  <c r="E49" i="70"/>
  <c r="F48" i="70"/>
  <c r="E48" i="70"/>
  <c r="F47" i="70"/>
  <c r="E47" i="70"/>
  <c r="F46" i="70"/>
  <c r="E46" i="70"/>
  <c r="F45" i="70"/>
  <c r="E45" i="70"/>
  <c r="F44" i="70"/>
  <c r="E44" i="70"/>
  <c r="F43" i="70"/>
  <c r="E43" i="70"/>
  <c r="F42" i="70"/>
  <c r="E42" i="70"/>
  <c r="F41" i="70"/>
  <c r="E41" i="70"/>
  <c r="F40" i="70"/>
  <c r="E40" i="70"/>
  <c r="F39" i="70"/>
  <c r="E39" i="70"/>
  <c r="M38" i="70"/>
  <c r="O38" i="70" s="1"/>
  <c r="Q38" i="70" s="1"/>
  <c r="F38" i="70"/>
  <c r="E38" i="70"/>
  <c r="F37" i="70"/>
  <c r="E37" i="70"/>
  <c r="M36" i="70"/>
  <c r="F36" i="70"/>
  <c r="E36" i="70"/>
  <c r="F35" i="70"/>
  <c r="E35" i="70"/>
  <c r="F34" i="70"/>
  <c r="E34" i="70"/>
  <c r="F33" i="70"/>
  <c r="E33" i="70"/>
  <c r="F32" i="70"/>
  <c r="E32" i="70"/>
  <c r="F31" i="70"/>
  <c r="E31" i="70"/>
  <c r="F30" i="70"/>
  <c r="E30" i="70"/>
  <c r="F29" i="70"/>
  <c r="E29" i="70"/>
  <c r="F28" i="70"/>
  <c r="E28" i="70"/>
  <c r="F27" i="70"/>
  <c r="E27" i="70"/>
  <c r="F26" i="70"/>
  <c r="E26" i="70"/>
  <c r="F25" i="70"/>
  <c r="E25" i="70"/>
  <c r="F24" i="70"/>
  <c r="E24" i="70"/>
  <c r="F23" i="70"/>
  <c r="E23" i="70"/>
  <c r="F22" i="70"/>
  <c r="E22" i="70"/>
  <c r="F21" i="70"/>
  <c r="E21" i="70"/>
  <c r="F20" i="70"/>
  <c r="E20" i="70"/>
  <c r="F19" i="70"/>
  <c r="E19" i="70"/>
  <c r="F18" i="70"/>
  <c r="E18" i="70"/>
  <c r="F17" i="70"/>
  <c r="E17" i="70"/>
  <c r="F16" i="70"/>
  <c r="E16" i="70"/>
  <c r="F15" i="70"/>
  <c r="E15" i="70"/>
  <c r="F14" i="70"/>
  <c r="E14" i="70"/>
  <c r="F13" i="70"/>
  <c r="E13" i="70"/>
  <c r="F12" i="70"/>
  <c r="E12" i="70"/>
  <c r="F11" i="70"/>
  <c r="E11" i="70"/>
  <c r="F10" i="70"/>
  <c r="E10" i="70"/>
  <c r="F9" i="70"/>
  <c r="E9" i="70"/>
  <c r="F8" i="70"/>
  <c r="E8" i="70"/>
  <c r="F7" i="70"/>
  <c r="E7" i="70"/>
  <c r="F6" i="70"/>
  <c r="E6" i="70"/>
  <c r="F5" i="70"/>
  <c r="E5" i="70"/>
  <c r="F4" i="70"/>
  <c r="E4" i="70"/>
  <c r="M53" i="69"/>
  <c r="S8" i="70" l="1"/>
  <c r="T8" i="70" s="1"/>
  <c r="Q8" i="70"/>
  <c r="S16" i="70"/>
  <c r="T16" i="70" s="1"/>
  <c r="Q16" i="70"/>
  <c r="S24" i="70"/>
  <c r="T24" i="70" s="1"/>
  <c r="Q24" i="70"/>
  <c r="S32" i="70"/>
  <c r="T32" i="70" s="1"/>
  <c r="Q32" i="70"/>
  <c r="S37" i="70"/>
  <c r="T37" i="70" s="1"/>
  <c r="Q37" i="70"/>
  <c r="S33" i="70"/>
  <c r="T33" i="70" s="1"/>
  <c r="Q33" i="70"/>
  <c r="S43" i="70"/>
  <c r="T43" i="70" s="1"/>
  <c r="Q43" i="70"/>
  <c r="S52" i="70"/>
  <c r="T52" i="70" s="1"/>
  <c r="Q52" i="70"/>
  <c r="S6" i="70"/>
  <c r="T6" i="70" s="1"/>
  <c r="Q6" i="70"/>
  <c r="S10" i="70"/>
  <c r="T10" i="70" s="1"/>
  <c r="Q10" i="70"/>
  <c r="S14" i="70"/>
  <c r="T14" i="70" s="1"/>
  <c r="Q14" i="70"/>
  <c r="S18" i="70"/>
  <c r="T18" i="70" s="1"/>
  <c r="Q18" i="70"/>
  <c r="S22" i="70"/>
  <c r="T22" i="70" s="1"/>
  <c r="Q22" i="70"/>
  <c r="S26" i="70"/>
  <c r="T26" i="70" s="1"/>
  <c r="Q26" i="70"/>
  <c r="S30" i="70"/>
  <c r="T30" i="70" s="1"/>
  <c r="Q30" i="70"/>
  <c r="S34" i="70"/>
  <c r="T34" i="70" s="1"/>
  <c r="Q34" i="70"/>
  <c r="S40" i="70"/>
  <c r="T40" i="70" s="1"/>
  <c r="Q40" i="70"/>
  <c r="S44" i="70"/>
  <c r="T44" i="70" s="1"/>
  <c r="Q44" i="70"/>
  <c r="S48" i="70"/>
  <c r="T48" i="70" s="1"/>
  <c r="Q48" i="70"/>
  <c r="S53" i="70"/>
  <c r="T53" i="70" s="1"/>
  <c r="Q53" i="70"/>
  <c r="S4" i="70"/>
  <c r="Q4" i="70"/>
  <c r="S12" i="70"/>
  <c r="T12" i="70" s="1"/>
  <c r="Q12" i="70"/>
  <c r="S20" i="70"/>
  <c r="T20" i="70" s="1"/>
  <c r="Q20" i="70"/>
  <c r="S28" i="70"/>
  <c r="T28" i="70" s="1"/>
  <c r="Q28" i="70"/>
  <c r="S50" i="70"/>
  <c r="T50" i="70" s="1"/>
  <c r="Q50" i="70"/>
  <c r="S29" i="70"/>
  <c r="T29" i="70" s="1"/>
  <c r="Q29" i="70"/>
  <c r="S47" i="70"/>
  <c r="T47" i="70" s="1"/>
  <c r="Q47" i="70"/>
  <c r="G53" i="70"/>
  <c r="R58" i="73"/>
  <c r="Q59" i="72"/>
  <c r="P59" i="72"/>
  <c r="N59" i="72"/>
  <c r="G58" i="71"/>
  <c r="N58" i="71"/>
  <c r="Q58" i="71"/>
  <c r="P58" i="71"/>
  <c r="P53" i="70"/>
  <c r="G46" i="70"/>
  <c r="G32" i="70"/>
  <c r="G34" i="70"/>
  <c r="G37" i="70"/>
  <c r="O51" i="70"/>
  <c r="Q51" i="70" s="1"/>
  <c r="G15" i="70"/>
  <c r="O36" i="70"/>
  <c r="Q36" i="70" s="1"/>
  <c r="G42" i="70"/>
  <c r="G27" i="70"/>
  <c r="G17" i="70"/>
  <c r="G50" i="70"/>
  <c r="G10" i="70"/>
  <c r="S13" i="70"/>
  <c r="T13" i="70" s="1"/>
  <c r="S25" i="70"/>
  <c r="T25" i="70" s="1"/>
  <c r="G38" i="70"/>
  <c r="S41" i="70"/>
  <c r="T41" i="70" s="1"/>
  <c r="S42" i="70"/>
  <c r="T42" i="70" s="1"/>
  <c r="G9" i="70"/>
  <c r="G14" i="70"/>
  <c r="G21" i="70"/>
  <c r="G26" i="70"/>
  <c r="G30" i="70"/>
  <c r="S5" i="70"/>
  <c r="T5" i="70" s="1"/>
  <c r="G7" i="70"/>
  <c r="S9" i="70"/>
  <c r="T9" i="70" s="1"/>
  <c r="G11" i="70"/>
  <c r="G13" i="70"/>
  <c r="S17" i="70"/>
  <c r="T17" i="70" s="1"/>
  <c r="G19" i="70"/>
  <c r="S21" i="70"/>
  <c r="T21" i="70" s="1"/>
  <c r="G23" i="70"/>
  <c r="G25" i="70"/>
  <c r="G29" i="70"/>
  <c r="G33" i="70"/>
  <c r="G36" i="70"/>
  <c r="G54" i="70"/>
  <c r="G6" i="70"/>
  <c r="G18" i="70"/>
  <c r="G22" i="70"/>
  <c r="G31" i="70"/>
  <c r="G35" i="70"/>
  <c r="S45" i="70"/>
  <c r="T45" i="70" s="1"/>
  <c r="S46" i="70"/>
  <c r="T46" i="70" s="1"/>
  <c r="S49" i="70"/>
  <c r="T49" i="70" s="1"/>
  <c r="F56" i="70"/>
  <c r="G12" i="70"/>
  <c r="G16" i="70"/>
  <c r="G24" i="70"/>
  <c r="S35" i="70"/>
  <c r="T35" i="70" s="1"/>
  <c r="M56" i="70"/>
  <c r="G40" i="70"/>
  <c r="G41" i="70"/>
  <c r="G43" i="70"/>
  <c r="G48" i="70"/>
  <c r="G49" i="70"/>
  <c r="G52" i="70"/>
  <c r="E56" i="70"/>
  <c r="G5" i="70"/>
  <c r="G8" i="70"/>
  <c r="G20" i="70"/>
  <c r="G28" i="70"/>
  <c r="S31" i="70"/>
  <c r="T31" i="70" s="1"/>
  <c r="G39" i="70"/>
  <c r="G44" i="70"/>
  <c r="G45" i="70"/>
  <c r="G47" i="70"/>
  <c r="G51" i="70"/>
  <c r="S54" i="70"/>
  <c r="T54" i="70" s="1"/>
  <c r="T4" i="70"/>
  <c r="G4" i="70"/>
  <c r="S7" i="70"/>
  <c r="T7" i="70" s="1"/>
  <c r="S11" i="70"/>
  <c r="T11" i="70" s="1"/>
  <c r="S15" i="70"/>
  <c r="T15" i="70" s="1"/>
  <c r="S19" i="70"/>
  <c r="T19" i="70" s="1"/>
  <c r="S23" i="70"/>
  <c r="T23" i="70" s="1"/>
  <c r="S27" i="70"/>
  <c r="T27" i="70" s="1"/>
  <c r="M4" i="69"/>
  <c r="P4" i="70" s="1"/>
  <c r="L51" i="69"/>
  <c r="F54" i="69"/>
  <c r="F53" i="69"/>
  <c r="F52" i="69"/>
  <c r="F51" i="69"/>
  <c r="F50" i="69"/>
  <c r="F49" i="69"/>
  <c r="F48" i="69"/>
  <c r="F47" i="69"/>
  <c r="F46" i="69"/>
  <c r="F45" i="69"/>
  <c r="F44" i="69"/>
  <c r="F43" i="69"/>
  <c r="F42" i="69"/>
  <c r="F41" i="69"/>
  <c r="F40" i="69"/>
  <c r="F39" i="69"/>
  <c r="F38" i="69"/>
  <c r="F37" i="69"/>
  <c r="F36" i="69"/>
  <c r="F35" i="69"/>
  <c r="F34" i="69"/>
  <c r="F33" i="69"/>
  <c r="F32" i="69"/>
  <c r="F31" i="69"/>
  <c r="F30" i="69"/>
  <c r="F29" i="69"/>
  <c r="F28" i="69"/>
  <c r="F27" i="69"/>
  <c r="F26" i="69"/>
  <c r="F25" i="69"/>
  <c r="F24" i="69"/>
  <c r="F23" i="69"/>
  <c r="F22" i="69"/>
  <c r="F21" i="69"/>
  <c r="F20" i="69"/>
  <c r="F19" i="69"/>
  <c r="F18" i="69"/>
  <c r="F17" i="69"/>
  <c r="F16" i="69"/>
  <c r="F15" i="69"/>
  <c r="F14" i="69"/>
  <c r="F13" i="69"/>
  <c r="F12" i="69"/>
  <c r="F11" i="69"/>
  <c r="F10" i="69"/>
  <c r="F9" i="69"/>
  <c r="F8" i="69"/>
  <c r="F7" i="69"/>
  <c r="F6" i="69"/>
  <c r="F5" i="69"/>
  <c r="F4" i="69"/>
  <c r="R59" i="72" l="1"/>
  <c r="R58" i="71"/>
  <c r="S36" i="70"/>
  <c r="T36" i="70" s="1"/>
  <c r="G56" i="70"/>
  <c r="S51" i="70"/>
  <c r="T51" i="70" s="1"/>
  <c r="S38" i="70"/>
  <c r="T38" i="70" s="1"/>
  <c r="O56" i="70"/>
  <c r="K36" i="69"/>
  <c r="H61" i="69"/>
  <c r="H60" i="69"/>
  <c r="K38" i="69"/>
  <c r="M54" i="69"/>
  <c r="P54" i="70" s="1"/>
  <c r="M42" i="69"/>
  <c r="P42" i="70" s="1"/>
  <c r="M39" i="69"/>
  <c r="P39" i="70" s="1"/>
  <c r="H59" i="70" l="1"/>
  <c r="M65" i="70"/>
  <c r="Q56" i="70"/>
  <c r="T56" i="70"/>
  <c r="M66" i="70" s="1"/>
  <c r="S56" i="70"/>
  <c r="H62" i="69"/>
  <c r="L56" i="69"/>
  <c r="K56" i="69"/>
  <c r="J56" i="69"/>
  <c r="J58" i="69" s="1"/>
  <c r="I56" i="69"/>
  <c r="I58" i="69" s="1"/>
  <c r="H56" i="69"/>
  <c r="D56" i="69"/>
  <c r="C56" i="69"/>
  <c r="P54" i="69"/>
  <c r="Q54" i="69" s="1"/>
  <c r="U54" i="70" s="1"/>
  <c r="N54" i="69"/>
  <c r="E54" i="69"/>
  <c r="G54" i="69" s="1"/>
  <c r="P53" i="69"/>
  <c r="Q53" i="69" s="1"/>
  <c r="U53" i="70" s="1"/>
  <c r="E53" i="69"/>
  <c r="G53" i="69" s="1"/>
  <c r="M52" i="69"/>
  <c r="P52" i="70" s="1"/>
  <c r="E52" i="69"/>
  <c r="M51" i="69"/>
  <c r="P51" i="70" s="1"/>
  <c r="E51" i="69"/>
  <c r="M50" i="69"/>
  <c r="P50" i="70" s="1"/>
  <c r="E50" i="69"/>
  <c r="M49" i="69"/>
  <c r="P49" i="70" s="1"/>
  <c r="E49" i="69"/>
  <c r="G49" i="69" s="1"/>
  <c r="M48" i="69"/>
  <c r="P48" i="70" s="1"/>
  <c r="E48" i="69"/>
  <c r="M47" i="69"/>
  <c r="P47" i="70" s="1"/>
  <c r="E47" i="69"/>
  <c r="M46" i="69"/>
  <c r="P46" i="70" s="1"/>
  <c r="E46" i="69"/>
  <c r="G46" i="69" s="1"/>
  <c r="M45" i="69"/>
  <c r="P45" i="70" s="1"/>
  <c r="E45" i="69"/>
  <c r="G45" i="69" s="1"/>
  <c r="M44" i="69"/>
  <c r="P44" i="70" s="1"/>
  <c r="E44" i="69"/>
  <c r="G44" i="69" s="1"/>
  <c r="M43" i="69"/>
  <c r="P43" i="70" s="1"/>
  <c r="E43" i="69"/>
  <c r="G43" i="69" s="1"/>
  <c r="P42" i="69"/>
  <c r="Q42" i="69" s="1"/>
  <c r="U42" i="70" s="1"/>
  <c r="E42" i="69"/>
  <c r="G42" i="69" s="1"/>
  <c r="M41" i="69"/>
  <c r="P41" i="70" s="1"/>
  <c r="E41" i="69"/>
  <c r="M40" i="69"/>
  <c r="P40" i="70" s="1"/>
  <c r="E40" i="69"/>
  <c r="G40" i="69" s="1"/>
  <c r="P39" i="69"/>
  <c r="Q39" i="69" s="1"/>
  <c r="U39" i="70" s="1"/>
  <c r="E39" i="69"/>
  <c r="M38" i="69"/>
  <c r="P38" i="70" s="1"/>
  <c r="E38" i="69"/>
  <c r="M37" i="69"/>
  <c r="P37" i="70" s="1"/>
  <c r="E37" i="69"/>
  <c r="G37" i="69" s="1"/>
  <c r="M36" i="69"/>
  <c r="P36" i="70" s="1"/>
  <c r="E36" i="69"/>
  <c r="G36" i="69" s="1"/>
  <c r="M35" i="69"/>
  <c r="P35" i="70" s="1"/>
  <c r="E35" i="69"/>
  <c r="G35" i="69" s="1"/>
  <c r="M34" i="69"/>
  <c r="P34" i="70" s="1"/>
  <c r="E34" i="69"/>
  <c r="M33" i="69"/>
  <c r="P33" i="70" s="1"/>
  <c r="E33" i="69"/>
  <c r="M32" i="69"/>
  <c r="P32" i="70" s="1"/>
  <c r="E32" i="69"/>
  <c r="M31" i="69"/>
  <c r="P31" i="70" s="1"/>
  <c r="E31" i="69"/>
  <c r="M30" i="69"/>
  <c r="P30" i="70" s="1"/>
  <c r="E30" i="69"/>
  <c r="G30" i="69" s="1"/>
  <c r="M29" i="69"/>
  <c r="P29" i="70" s="1"/>
  <c r="E29" i="69"/>
  <c r="G29" i="69" s="1"/>
  <c r="M28" i="69"/>
  <c r="P28" i="70" s="1"/>
  <c r="E28" i="69"/>
  <c r="G28" i="69" s="1"/>
  <c r="M27" i="69"/>
  <c r="P27" i="70" s="1"/>
  <c r="E27" i="69"/>
  <c r="G27" i="69" s="1"/>
  <c r="M26" i="69"/>
  <c r="P26" i="70" s="1"/>
  <c r="E26" i="69"/>
  <c r="G26" i="69" s="1"/>
  <c r="M25" i="69"/>
  <c r="P25" i="70" s="1"/>
  <c r="E25" i="69"/>
  <c r="M24" i="69"/>
  <c r="P24" i="70" s="1"/>
  <c r="E24" i="69"/>
  <c r="G24" i="69" s="1"/>
  <c r="M23" i="69"/>
  <c r="P23" i="70" s="1"/>
  <c r="E23" i="69"/>
  <c r="G23" i="69" s="1"/>
  <c r="M22" i="69"/>
  <c r="P22" i="70" s="1"/>
  <c r="E22" i="69"/>
  <c r="M21" i="69"/>
  <c r="P21" i="70" s="1"/>
  <c r="E21" i="69"/>
  <c r="M20" i="69"/>
  <c r="P20" i="70" s="1"/>
  <c r="E20" i="69"/>
  <c r="M19" i="69"/>
  <c r="P19" i="70" s="1"/>
  <c r="E19" i="69"/>
  <c r="G19" i="69" s="1"/>
  <c r="M18" i="69"/>
  <c r="P18" i="70" s="1"/>
  <c r="E18" i="69"/>
  <c r="G18" i="69" s="1"/>
  <c r="M17" i="69"/>
  <c r="P17" i="70" s="1"/>
  <c r="E17" i="69"/>
  <c r="G17" i="69" s="1"/>
  <c r="M16" i="69"/>
  <c r="P16" i="70" s="1"/>
  <c r="E16" i="69"/>
  <c r="M15" i="69"/>
  <c r="P15" i="70" s="1"/>
  <c r="E15" i="69"/>
  <c r="M14" i="69"/>
  <c r="P14" i="70" s="1"/>
  <c r="E14" i="69"/>
  <c r="M13" i="69"/>
  <c r="P13" i="70" s="1"/>
  <c r="E13" i="69"/>
  <c r="G13" i="69" s="1"/>
  <c r="M12" i="69"/>
  <c r="P12" i="70" s="1"/>
  <c r="E12" i="69"/>
  <c r="G12" i="69" s="1"/>
  <c r="M11" i="69"/>
  <c r="P11" i="70" s="1"/>
  <c r="E11" i="69"/>
  <c r="M10" i="69"/>
  <c r="P10" i="70" s="1"/>
  <c r="E10" i="69"/>
  <c r="M9" i="69"/>
  <c r="P9" i="70" s="1"/>
  <c r="E9" i="69"/>
  <c r="M8" i="69"/>
  <c r="P8" i="70" s="1"/>
  <c r="E8" i="69"/>
  <c r="G8" i="69" s="1"/>
  <c r="M7" i="69"/>
  <c r="P7" i="70" s="1"/>
  <c r="E7" i="69"/>
  <c r="G7" i="69" s="1"/>
  <c r="M6" i="69"/>
  <c r="P6" i="70" s="1"/>
  <c r="E6" i="69"/>
  <c r="G6" i="69" s="1"/>
  <c r="M5" i="69"/>
  <c r="P5" i="70" s="1"/>
  <c r="E5" i="69"/>
  <c r="F56" i="69"/>
  <c r="E4" i="69"/>
  <c r="M57" i="68"/>
  <c r="M44" i="68"/>
  <c r="M41" i="68"/>
  <c r="J67" i="69" l="1"/>
  <c r="L64" i="70"/>
  <c r="O64" i="70" s="1"/>
  <c r="P56" i="70"/>
  <c r="P5" i="69"/>
  <c r="Q5" i="69" s="1"/>
  <c r="U5" i="70" s="1"/>
  <c r="P7" i="69"/>
  <c r="Q7" i="69" s="1"/>
  <c r="U7" i="70" s="1"/>
  <c r="P9" i="69"/>
  <c r="Q9" i="69" s="1"/>
  <c r="U9" i="70" s="1"/>
  <c r="N11" i="69"/>
  <c r="P13" i="69"/>
  <c r="Q13" i="69" s="1"/>
  <c r="U13" i="70" s="1"/>
  <c r="P15" i="69"/>
  <c r="Q15" i="69" s="1"/>
  <c r="U15" i="70" s="1"/>
  <c r="P17" i="69"/>
  <c r="Q17" i="69" s="1"/>
  <c r="U17" i="70" s="1"/>
  <c r="P19" i="69"/>
  <c r="Q19" i="69" s="1"/>
  <c r="U19" i="70" s="1"/>
  <c r="P21" i="69"/>
  <c r="Q21" i="69" s="1"/>
  <c r="U21" i="70" s="1"/>
  <c r="P23" i="69"/>
  <c r="Q23" i="69" s="1"/>
  <c r="U23" i="70" s="1"/>
  <c r="N25" i="69"/>
  <c r="P27" i="69"/>
  <c r="Q27" i="69" s="1"/>
  <c r="U27" i="70" s="1"/>
  <c r="P29" i="69"/>
  <c r="Q29" i="69" s="1"/>
  <c r="U29" i="70" s="1"/>
  <c r="P31" i="69"/>
  <c r="Q31" i="69" s="1"/>
  <c r="U31" i="70" s="1"/>
  <c r="P33" i="69"/>
  <c r="Q33" i="69" s="1"/>
  <c r="U33" i="70" s="1"/>
  <c r="P35" i="69"/>
  <c r="Q35" i="69" s="1"/>
  <c r="U35" i="70" s="1"/>
  <c r="N37" i="69"/>
  <c r="N41" i="69"/>
  <c r="P43" i="69"/>
  <c r="Q43" i="69" s="1"/>
  <c r="U43" i="70" s="1"/>
  <c r="P45" i="69"/>
  <c r="Q45" i="69" s="1"/>
  <c r="U45" i="70" s="1"/>
  <c r="P47" i="69"/>
  <c r="Q47" i="69" s="1"/>
  <c r="U47" i="70" s="1"/>
  <c r="N49" i="69"/>
  <c r="P51" i="69"/>
  <c r="Q51" i="69" s="1"/>
  <c r="U51" i="70" s="1"/>
  <c r="N6" i="69"/>
  <c r="P8" i="69"/>
  <c r="Q8" i="69" s="1"/>
  <c r="U8" i="70" s="1"/>
  <c r="N10" i="69"/>
  <c r="P12" i="69"/>
  <c r="Q12" i="69" s="1"/>
  <c r="U12" i="70" s="1"/>
  <c r="N14" i="69"/>
  <c r="P16" i="69"/>
  <c r="Q16" i="69" s="1"/>
  <c r="U16" i="70" s="1"/>
  <c r="N18" i="69"/>
  <c r="N20" i="69"/>
  <c r="P22" i="69"/>
  <c r="Q22" i="69" s="1"/>
  <c r="U22" i="70" s="1"/>
  <c r="P24" i="69"/>
  <c r="Q24" i="69" s="1"/>
  <c r="U24" i="70" s="1"/>
  <c r="P26" i="69"/>
  <c r="Q26" i="69" s="1"/>
  <c r="U26" i="70" s="1"/>
  <c r="P28" i="69"/>
  <c r="Q28" i="69" s="1"/>
  <c r="U28" i="70" s="1"/>
  <c r="P30" i="69"/>
  <c r="Q30" i="69" s="1"/>
  <c r="U30" i="70" s="1"/>
  <c r="P32" i="69"/>
  <c r="Q32" i="69" s="1"/>
  <c r="U32" i="70" s="1"/>
  <c r="P34" i="69"/>
  <c r="Q34" i="69" s="1"/>
  <c r="U34" i="70" s="1"/>
  <c r="N36" i="69"/>
  <c r="P38" i="69"/>
  <c r="Q38" i="69" s="1"/>
  <c r="U38" i="70" s="1"/>
  <c r="P40" i="69"/>
  <c r="Q40" i="69" s="1"/>
  <c r="U40" i="70" s="1"/>
  <c r="N44" i="69"/>
  <c r="P46" i="69"/>
  <c r="Q46" i="69" s="1"/>
  <c r="U46" i="70" s="1"/>
  <c r="P48" i="69"/>
  <c r="Q48" i="69" s="1"/>
  <c r="U48" i="70" s="1"/>
  <c r="P50" i="69"/>
  <c r="Q50" i="69" s="1"/>
  <c r="U50" i="70" s="1"/>
  <c r="P52" i="69"/>
  <c r="Q52" i="69" s="1"/>
  <c r="U52" i="70" s="1"/>
  <c r="P44" i="69"/>
  <c r="Q44" i="69" s="1"/>
  <c r="U44" i="70" s="1"/>
  <c r="P6" i="69"/>
  <c r="Q6" i="69" s="1"/>
  <c r="U6" i="70" s="1"/>
  <c r="N53" i="69"/>
  <c r="P18" i="69"/>
  <c r="Q18" i="69" s="1"/>
  <c r="U18" i="70" s="1"/>
  <c r="N23" i="69"/>
  <c r="N27" i="69"/>
  <c r="P36" i="69"/>
  <c r="Q36" i="69" s="1"/>
  <c r="U36" i="70" s="1"/>
  <c r="N40" i="69"/>
  <c r="N43" i="69"/>
  <c r="N28" i="69"/>
  <c r="N24" i="69"/>
  <c r="N32" i="69"/>
  <c r="N51" i="69"/>
  <c r="G5" i="69"/>
  <c r="G10" i="69"/>
  <c r="G11" i="69"/>
  <c r="P14" i="69"/>
  <c r="Q14" i="69" s="1"/>
  <c r="U14" i="70" s="1"/>
  <c r="G16" i="69"/>
  <c r="P20" i="69"/>
  <c r="Q20" i="69" s="1"/>
  <c r="U20" i="70" s="1"/>
  <c r="G22" i="69"/>
  <c r="G25" i="69"/>
  <c r="G32" i="69"/>
  <c r="G34" i="69"/>
  <c r="G39" i="69"/>
  <c r="G41" i="69"/>
  <c r="N47" i="69"/>
  <c r="N48" i="69"/>
  <c r="G51" i="69"/>
  <c r="G52" i="69"/>
  <c r="P10" i="69"/>
  <c r="Q10" i="69" s="1"/>
  <c r="U10" i="70" s="1"/>
  <c r="G4" i="69"/>
  <c r="G9" i="69"/>
  <c r="G14" i="69"/>
  <c r="G15" i="69"/>
  <c r="G20" i="69"/>
  <c r="G21" i="69"/>
  <c r="G31" i="69"/>
  <c r="G33" i="69"/>
  <c r="G38" i="69"/>
  <c r="G47" i="69"/>
  <c r="G48" i="69"/>
  <c r="G50" i="69"/>
  <c r="N7" i="69"/>
  <c r="N15" i="69"/>
  <c r="N19" i="69"/>
  <c r="N21" i="69"/>
  <c r="N29" i="69"/>
  <c r="N33" i="69"/>
  <c r="N45" i="69"/>
  <c r="P11" i="69"/>
  <c r="Q11" i="69" s="1"/>
  <c r="U11" i="70" s="1"/>
  <c r="P25" i="69"/>
  <c r="Q25" i="69" s="1"/>
  <c r="U25" i="70" s="1"/>
  <c r="P37" i="69"/>
  <c r="Q37" i="69" s="1"/>
  <c r="U37" i="70" s="1"/>
  <c r="P41" i="69"/>
  <c r="Q41" i="69" s="1"/>
  <c r="U41" i="70" s="1"/>
  <c r="P49" i="69"/>
  <c r="Q49" i="69" s="1"/>
  <c r="U49" i="70" s="1"/>
  <c r="N5" i="69"/>
  <c r="N9" i="69"/>
  <c r="N13" i="69"/>
  <c r="N17" i="69"/>
  <c r="N31" i="69"/>
  <c r="N35" i="69"/>
  <c r="N39" i="69"/>
  <c r="E56" i="69"/>
  <c r="N8" i="69"/>
  <c r="N12" i="69"/>
  <c r="N16" i="69"/>
  <c r="N22" i="69"/>
  <c r="N26" i="69"/>
  <c r="N30" i="69"/>
  <c r="N34" i="69"/>
  <c r="N38" i="69"/>
  <c r="N42" i="69"/>
  <c r="N46" i="69"/>
  <c r="N50" i="69"/>
  <c r="N52" i="69"/>
  <c r="P44" i="68"/>
  <c r="Q44" i="68" s="1"/>
  <c r="M42" i="68"/>
  <c r="N42" i="68" s="1"/>
  <c r="H64" i="68"/>
  <c r="H63" i="68"/>
  <c r="H65" i="68" s="1"/>
  <c r="L59" i="68"/>
  <c r="K59" i="68"/>
  <c r="J59" i="68"/>
  <c r="J61" i="68" s="1"/>
  <c r="I59" i="68"/>
  <c r="I61" i="68" s="1"/>
  <c r="H59" i="68"/>
  <c r="J70" i="68" s="1"/>
  <c r="D59" i="68"/>
  <c r="C59" i="68"/>
  <c r="P57" i="68"/>
  <c r="Q57" i="68" s="1"/>
  <c r="F57" i="68"/>
  <c r="G57" i="68" s="1"/>
  <c r="E57" i="68"/>
  <c r="M56" i="68"/>
  <c r="P56" i="68" s="1"/>
  <c r="Q56" i="68" s="1"/>
  <c r="F56" i="68"/>
  <c r="E56" i="68"/>
  <c r="G56" i="68" s="1"/>
  <c r="M55" i="68"/>
  <c r="P55" i="68" s="1"/>
  <c r="Q55" i="68" s="1"/>
  <c r="F55" i="68"/>
  <c r="E55" i="68"/>
  <c r="G55" i="68" s="1"/>
  <c r="P54" i="68"/>
  <c r="Q54" i="68" s="1"/>
  <c r="F54" i="68"/>
  <c r="E54" i="68"/>
  <c r="G54" i="68" s="1"/>
  <c r="M53" i="68"/>
  <c r="P53" i="68" s="1"/>
  <c r="Q53" i="68" s="1"/>
  <c r="F53" i="68"/>
  <c r="E53" i="68"/>
  <c r="M52" i="68"/>
  <c r="P52" i="68" s="1"/>
  <c r="Q52" i="68" s="1"/>
  <c r="F52" i="68"/>
  <c r="E52" i="68"/>
  <c r="G52" i="68" s="1"/>
  <c r="M51" i="68"/>
  <c r="P51" i="68" s="1"/>
  <c r="Q51" i="68" s="1"/>
  <c r="F51" i="68"/>
  <c r="E51" i="68"/>
  <c r="G51" i="68" s="1"/>
  <c r="M50" i="68"/>
  <c r="N50" i="68" s="1"/>
  <c r="F50" i="68"/>
  <c r="E50" i="68"/>
  <c r="G50" i="68" s="1"/>
  <c r="M49" i="68"/>
  <c r="P49" i="68" s="1"/>
  <c r="Q49" i="68" s="1"/>
  <c r="F49" i="68"/>
  <c r="G49" i="68" s="1"/>
  <c r="E49" i="68"/>
  <c r="M48" i="68"/>
  <c r="P48" i="68" s="1"/>
  <c r="Q48" i="68" s="1"/>
  <c r="F48" i="68"/>
  <c r="E48" i="68"/>
  <c r="M47" i="68"/>
  <c r="P47" i="68" s="1"/>
  <c r="Q47" i="68" s="1"/>
  <c r="F47" i="68"/>
  <c r="E47" i="68"/>
  <c r="G47" i="68" s="1"/>
  <c r="M46" i="68"/>
  <c r="P46" i="68" s="1"/>
  <c r="Q46" i="68" s="1"/>
  <c r="F46" i="68"/>
  <c r="E46" i="68"/>
  <c r="G46" i="68" s="1"/>
  <c r="M45" i="68"/>
  <c r="N45" i="68" s="1"/>
  <c r="F45" i="68"/>
  <c r="E45" i="68"/>
  <c r="F44" i="68"/>
  <c r="E44" i="68"/>
  <c r="G44" i="68" s="1"/>
  <c r="M43" i="68"/>
  <c r="P43" i="68" s="1"/>
  <c r="Q43" i="68" s="1"/>
  <c r="F43" i="68"/>
  <c r="E43" i="68"/>
  <c r="G43" i="68" s="1"/>
  <c r="F42" i="68"/>
  <c r="E42" i="68"/>
  <c r="P41" i="68"/>
  <c r="Q41" i="68" s="1"/>
  <c r="F41" i="68"/>
  <c r="E41" i="68"/>
  <c r="M40" i="68"/>
  <c r="F40" i="68"/>
  <c r="E40" i="68"/>
  <c r="M39" i="68"/>
  <c r="P39" i="68" s="1"/>
  <c r="Q39" i="68" s="1"/>
  <c r="F39" i="68"/>
  <c r="E39" i="68"/>
  <c r="M38" i="68"/>
  <c r="P38" i="68" s="1"/>
  <c r="Q38" i="68" s="1"/>
  <c r="F38" i="68"/>
  <c r="E38" i="68"/>
  <c r="G38" i="68" s="1"/>
  <c r="M37" i="68"/>
  <c r="N37" i="68" s="1"/>
  <c r="F37" i="68"/>
  <c r="E37" i="68"/>
  <c r="M36" i="68"/>
  <c r="P36" i="68" s="1"/>
  <c r="Q36" i="68" s="1"/>
  <c r="F36" i="68"/>
  <c r="E36" i="68"/>
  <c r="M35" i="68"/>
  <c r="P35" i="68" s="1"/>
  <c r="Q35" i="68" s="1"/>
  <c r="F35" i="68"/>
  <c r="E35" i="68"/>
  <c r="M34" i="68"/>
  <c r="N34" i="68" s="1"/>
  <c r="F34" i="68"/>
  <c r="E34" i="68"/>
  <c r="G34" i="68" s="1"/>
  <c r="M33" i="68"/>
  <c r="P33" i="68" s="1"/>
  <c r="Q33" i="68" s="1"/>
  <c r="F33" i="68"/>
  <c r="E33" i="68"/>
  <c r="M32" i="68"/>
  <c r="P32" i="68" s="1"/>
  <c r="Q32" i="68" s="1"/>
  <c r="F32" i="68"/>
  <c r="E32" i="68"/>
  <c r="M31" i="68"/>
  <c r="P31" i="68" s="1"/>
  <c r="Q31" i="68" s="1"/>
  <c r="F31" i="68"/>
  <c r="E31" i="68"/>
  <c r="M30" i="68"/>
  <c r="P30" i="68" s="1"/>
  <c r="Q30" i="68" s="1"/>
  <c r="F30" i="68"/>
  <c r="E30" i="68"/>
  <c r="M29" i="68"/>
  <c r="N29" i="68" s="1"/>
  <c r="F29" i="68"/>
  <c r="E29" i="68"/>
  <c r="M28" i="68"/>
  <c r="P28" i="68" s="1"/>
  <c r="Q28" i="68" s="1"/>
  <c r="F28" i="68"/>
  <c r="E28" i="68"/>
  <c r="M27" i="68"/>
  <c r="P27" i="68" s="1"/>
  <c r="Q27" i="68" s="1"/>
  <c r="F27" i="68"/>
  <c r="E27" i="68"/>
  <c r="M26" i="68"/>
  <c r="N26" i="68" s="1"/>
  <c r="F26" i="68"/>
  <c r="E26" i="68"/>
  <c r="G26" i="68" s="1"/>
  <c r="M25" i="68"/>
  <c r="P25" i="68" s="1"/>
  <c r="Q25" i="68" s="1"/>
  <c r="F25" i="68"/>
  <c r="E25" i="68"/>
  <c r="M24" i="68"/>
  <c r="P24" i="68" s="1"/>
  <c r="Q24" i="68" s="1"/>
  <c r="F24" i="68"/>
  <c r="E24" i="68"/>
  <c r="M23" i="68"/>
  <c r="P23" i="68" s="1"/>
  <c r="Q23" i="68" s="1"/>
  <c r="F23" i="68"/>
  <c r="E23" i="68"/>
  <c r="M22" i="68"/>
  <c r="P22" i="68" s="1"/>
  <c r="Q22" i="68" s="1"/>
  <c r="F22" i="68"/>
  <c r="E22" i="68"/>
  <c r="N21" i="68"/>
  <c r="F21" i="68"/>
  <c r="E21" i="68"/>
  <c r="M20" i="68"/>
  <c r="P20" i="68" s="1"/>
  <c r="Q20" i="68" s="1"/>
  <c r="F20" i="68"/>
  <c r="E20" i="68"/>
  <c r="M19" i="68"/>
  <c r="P19" i="68" s="1"/>
  <c r="Q19" i="68" s="1"/>
  <c r="F19" i="68"/>
  <c r="E19" i="68"/>
  <c r="M18" i="68"/>
  <c r="N18" i="68" s="1"/>
  <c r="F18" i="68"/>
  <c r="E18" i="68"/>
  <c r="G18" i="68" s="1"/>
  <c r="M17" i="68"/>
  <c r="P17" i="68" s="1"/>
  <c r="Q17" i="68" s="1"/>
  <c r="F17" i="68"/>
  <c r="E17" i="68"/>
  <c r="M16" i="68"/>
  <c r="P16" i="68" s="1"/>
  <c r="Q16" i="68" s="1"/>
  <c r="F16" i="68"/>
  <c r="E16" i="68"/>
  <c r="M15" i="68"/>
  <c r="P15" i="68" s="1"/>
  <c r="Q15" i="68" s="1"/>
  <c r="F15" i="68"/>
  <c r="E15" i="68"/>
  <c r="M14" i="68"/>
  <c r="P14" i="68" s="1"/>
  <c r="Q14" i="68" s="1"/>
  <c r="F14" i="68"/>
  <c r="E14" i="68"/>
  <c r="G14" i="68" s="1"/>
  <c r="M13" i="68"/>
  <c r="N13" i="68" s="1"/>
  <c r="F13" i="68"/>
  <c r="E13" i="68"/>
  <c r="M12" i="68"/>
  <c r="P12" i="68" s="1"/>
  <c r="Q12" i="68" s="1"/>
  <c r="F12" i="68"/>
  <c r="G12" i="68" s="1"/>
  <c r="E12" i="68"/>
  <c r="M11" i="68"/>
  <c r="P11" i="68" s="1"/>
  <c r="Q11" i="68" s="1"/>
  <c r="F11" i="68"/>
  <c r="E11" i="68"/>
  <c r="M10" i="68"/>
  <c r="N10" i="68" s="1"/>
  <c r="F10" i="68"/>
  <c r="E10" i="68"/>
  <c r="G10" i="68" s="1"/>
  <c r="M9" i="68"/>
  <c r="N9" i="68" s="1"/>
  <c r="F9" i="68"/>
  <c r="E9" i="68"/>
  <c r="M8" i="68"/>
  <c r="P8" i="68" s="1"/>
  <c r="Q8" i="68" s="1"/>
  <c r="F8" i="68"/>
  <c r="E8" i="68"/>
  <c r="M7" i="68"/>
  <c r="P7" i="68" s="1"/>
  <c r="Q7" i="68" s="1"/>
  <c r="F7" i="68"/>
  <c r="E7" i="68"/>
  <c r="M6" i="68"/>
  <c r="F6" i="68"/>
  <c r="E6" i="68"/>
  <c r="G6" i="68" s="1"/>
  <c r="M5" i="68"/>
  <c r="N5" i="68" s="1"/>
  <c r="F5" i="68"/>
  <c r="E5" i="68"/>
  <c r="P4" i="68"/>
  <c r="N4" i="68"/>
  <c r="M56" i="67"/>
  <c r="P56" i="67" s="1"/>
  <c r="Q56" i="67" s="1"/>
  <c r="F56" i="67"/>
  <c r="E56" i="67"/>
  <c r="G56" i="67" s="1"/>
  <c r="M44" i="67"/>
  <c r="M42" i="67"/>
  <c r="G42" i="68" l="1"/>
  <c r="G28" i="68"/>
  <c r="G32" i="68"/>
  <c r="G41" i="68"/>
  <c r="G11" i="68"/>
  <c r="G15" i="68"/>
  <c r="G19" i="68"/>
  <c r="G23" i="68"/>
  <c r="G35" i="68"/>
  <c r="G39" i="68"/>
  <c r="G17" i="68"/>
  <c r="G24" i="68"/>
  <c r="G25" i="68"/>
  <c r="G29" i="68"/>
  <c r="G33" i="68"/>
  <c r="E59" i="68"/>
  <c r="G20" i="68"/>
  <c r="G8" i="68"/>
  <c r="G9" i="68"/>
  <c r="G13" i="68"/>
  <c r="G22" i="68"/>
  <c r="G27" i="68"/>
  <c r="G31" i="68"/>
  <c r="G37" i="68"/>
  <c r="G45" i="68"/>
  <c r="F59" i="68"/>
  <c r="P40" i="68"/>
  <c r="Q40" i="68" s="1"/>
  <c r="N40" i="68"/>
  <c r="G7" i="68"/>
  <c r="G16" i="68"/>
  <c r="G21" i="68"/>
  <c r="G30" i="68"/>
  <c r="G36" i="68"/>
  <c r="G40" i="68"/>
  <c r="G48" i="68"/>
  <c r="G53" i="68"/>
  <c r="G56" i="69"/>
  <c r="N12" i="68"/>
  <c r="N36" i="68"/>
  <c r="N15" i="68"/>
  <c r="N57" i="68"/>
  <c r="N55" i="68"/>
  <c r="N53" i="68"/>
  <c r="N47" i="68"/>
  <c r="N44" i="68"/>
  <c r="N28" i="68"/>
  <c r="N31" i="68"/>
  <c r="P37" i="68"/>
  <c r="Q37" i="68" s="1"/>
  <c r="N23" i="68"/>
  <c r="N52" i="68"/>
  <c r="N17" i="68"/>
  <c r="P21" i="68"/>
  <c r="Q21" i="68" s="1"/>
  <c r="N33" i="68"/>
  <c r="N41" i="68"/>
  <c r="P13" i="68"/>
  <c r="Q13" i="68" s="1"/>
  <c r="P29" i="68"/>
  <c r="Q29" i="68" s="1"/>
  <c r="N39" i="68"/>
  <c r="N20" i="68"/>
  <c r="N25" i="68"/>
  <c r="N7" i="68"/>
  <c r="N49" i="68"/>
  <c r="P45" i="68"/>
  <c r="Q45" i="68" s="1"/>
  <c r="M59" i="68"/>
  <c r="H62" i="68" s="1"/>
  <c r="P5" i="68"/>
  <c r="Q5" i="68" s="1"/>
  <c r="N56" i="67"/>
  <c r="N11" i="68"/>
  <c r="N19" i="68"/>
  <c r="P10" i="68"/>
  <c r="Q10" i="68" s="1"/>
  <c r="P18" i="68"/>
  <c r="Q18" i="68" s="1"/>
  <c r="P26" i="68"/>
  <c r="Q26" i="68" s="1"/>
  <c r="P34" i="68"/>
  <c r="Q34" i="68" s="1"/>
  <c r="P42" i="68"/>
  <c r="Q42" i="68" s="1"/>
  <c r="P50" i="68"/>
  <c r="Q50" i="68" s="1"/>
  <c r="N8" i="68"/>
  <c r="P9" i="68"/>
  <c r="Q9" i="68" s="1"/>
  <c r="N16" i="68"/>
  <c r="N24" i="68"/>
  <c r="N32" i="68"/>
  <c r="N48" i="68"/>
  <c r="N56" i="68"/>
  <c r="N27" i="68"/>
  <c r="G5" i="68"/>
  <c r="N6" i="68"/>
  <c r="N14" i="68"/>
  <c r="N22" i="68"/>
  <c r="N30" i="68"/>
  <c r="N38" i="68"/>
  <c r="N46" i="68"/>
  <c r="N54" i="68"/>
  <c r="Q4" i="68"/>
  <c r="P6" i="68"/>
  <c r="Q6" i="68" s="1"/>
  <c r="N35" i="68"/>
  <c r="N43" i="68"/>
  <c r="N51" i="68"/>
  <c r="P42" i="67"/>
  <c r="Q42" i="67" s="1"/>
  <c r="H63" i="67"/>
  <c r="H62" i="67"/>
  <c r="L58" i="67"/>
  <c r="K58" i="67"/>
  <c r="J58" i="67"/>
  <c r="J60" i="67" s="1"/>
  <c r="I58" i="67"/>
  <c r="I60" i="67" s="1"/>
  <c r="H58" i="67"/>
  <c r="D58" i="67"/>
  <c r="C58" i="67"/>
  <c r="M55" i="67"/>
  <c r="P55" i="67" s="1"/>
  <c r="Q55" i="67" s="1"/>
  <c r="F55" i="67"/>
  <c r="E55" i="67"/>
  <c r="M54" i="67"/>
  <c r="P54" i="67" s="1"/>
  <c r="Q54" i="67" s="1"/>
  <c r="F54" i="67"/>
  <c r="E54" i="67"/>
  <c r="M53" i="67"/>
  <c r="P53" i="67" s="1"/>
  <c r="Q53" i="67" s="1"/>
  <c r="F53" i="67"/>
  <c r="E53" i="67"/>
  <c r="M52" i="67"/>
  <c r="N52" i="67" s="1"/>
  <c r="F52" i="67"/>
  <c r="E52" i="67"/>
  <c r="M51" i="67"/>
  <c r="P51" i="67" s="1"/>
  <c r="Q51" i="67" s="1"/>
  <c r="F51" i="67"/>
  <c r="E51" i="67"/>
  <c r="M50" i="67"/>
  <c r="P50" i="67" s="1"/>
  <c r="Q50" i="67" s="1"/>
  <c r="F50" i="67"/>
  <c r="E50" i="67"/>
  <c r="G50" i="67" s="1"/>
  <c r="M49" i="67"/>
  <c r="N49" i="67" s="1"/>
  <c r="F49" i="67"/>
  <c r="E49" i="67"/>
  <c r="M48" i="67"/>
  <c r="P48" i="67" s="1"/>
  <c r="Q48" i="67" s="1"/>
  <c r="F48" i="67"/>
  <c r="E48" i="67"/>
  <c r="M47" i="67"/>
  <c r="P47" i="67" s="1"/>
  <c r="Q47" i="67" s="1"/>
  <c r="F47" i="67"/>
  <c r="E47" i="67"/>
  <c r="M46" i="67"/>
  <c r="P46" i="67" s="1"/>
  <c r="Q46" i="67" s="1"/>
  <c r="F46" i="67"/>
  <c r="E46" i="67"/>
  <c r="G46" i="67" s="1"/>
  <c r="M45" i="67"/>
  <c r="P45" i="67" s="1"/>
  <c r="Q45" i="67" s="1"/>
  <c r="F45" i="67"/>
  <c r="E45" i="67"/>
  <c r="N44" i="67"/>
  <c r="F44" i="67"/>
  <c r="E44" i="67"/>
  <c r="M43" i="67"/>
  <c r="P43" i="67" s="1"/>
  <c r="Q43" i="67" s="1"/>
  <c r="F43" i="67"/>
  <c r="E43" i="67"/>
  <c r="F42" i="67"/>
  <c r="E42" i="67"/>
  <c r="M41" i="67"/>
  <c r="P41" i="67" s="1"/>
  <c r="Q41" i="67" s="1"/>
  <c r="F41" i="67"/>
  <c r="E41" i="67"/>
  <c r="M40" i="67"/>
  <c r="P40" i="67" s="1"/>
  <c r="Q40" i="67" s="1"/>
  <c r="F40" i="67"/>
  <c r="E40" i="67"/>
  <c r="M39" i="67"/>
  <c r="P39" i="67" s="1"/>
  <c r="Q39" i="67" s="1"/>
  <c r="F39" i="67"/>
  <c r="E39" i="67"/>
  <c r="M38" i="67"/>
  <c r="P38" i="67" s="1"/>
  <c r="Q38" i="67" s="1"/>
  <c r="F38" i="67"/>
  <c r="E38" i="67"/>
  <c r="M37" i="67"/>
  <c r="P37" i="67" s="1"/>
  <c r="Q37" i="67" s="1"/>
  <c r="F37" i="67"/>
  <c r="E37" i="67"/>
  <c r="M36" i="67"/>
  <c r="N36" i="67" s="1"/>
  <c r="F36" i="67"/>
  <c r="E36" i="67"/>
  <c r="M35" i="67"/>
  <c r="P35" i="67" s="1"/>
  <c r="Q35" i="67" s="1"/>
  <c r="F35" i="67"/>
  <c r="E35" i="67"/>
  <c r="G35" i="67" s="1"/>
  <c r="M34" i="67"/>
  <c r="P34" i="67" s="1"/>
  <c r="Q34" i="67" s="1"/>
  <c r="F34" i="67"/>
  <c r="E34" i="67"/>
  <c r="M33" i="67"/>
  <c r="P33" i="67" s="1"/>
  <c r="Q33" i="67" s="1"/>
  <c r="F33" i="67"/>
  <c r="E33" i="67"/>
  <c r="M32" i="67"/>
  <c r="P32" i="67" s="1"/>
  <c r="Q32" i="67" s="1"/>
  <c r="F32" i="67"/>
  <c r="E32" i="67"/>
  <c r="M31" i="67"/>
  <c r="P31" i="67" s="1"/>
  <c r="Q31" i="67" s="1"/>
  <c r="F31" i="67"/>
  <c r="E31" i="67"/>
  <c r="G31" i="67" s="1"/>
  <c r="M30" i="67"/>
  <c r="P30" i="67" s="1"/>
  <c r="Q30" i="67" s="1"/>
  <c r="F30" i="67"/>
  <c r="E30" i="67"/>
  <c r="M29" i="67"/>
  <c r="P29" i="67" s="1"/>
  <c r="Q29" i="67" s="1"/>
  <c r="F29" i="67"/>
  <c r="E29" i="67"/>
  <c r="M28" i="67"/>
  <c r="N28" i="67" s="1"/>
  <c r="F28" i="67"/>
  <c r="E28" i="67"/>
  <c r="M27" i="67"/>
  <c r="P27" i="67" s="1"/>
  <c r="Q27" i="67" s="1"/>
  <c r="F27" i="67"/>
  <c r="E27" i="67"/>
  <c r="G27" i="67" s="1"/>
  <c r="M26" i="67"/>
  <c r="P26" i="67" s="1"/>
  <c r="Q26" i="67" s="1"/>
  <c r="F26" i="67"/>
  <c r="E26" i="67"/>
  <c r="M25" i="67"/>
  <c r="P25" i="67" s="1"/>
  <c r="Q25" i="67" s="1"/>
  <c r="F25" i="67"/>
  <c r="E25" i="67"/>
  <c r="M24" i="67"/>
  <c r="P24" i="67" s="1"/>
  <c r="Q24" i="67" s="1"/>
  <c r="F24" i="67"/>
  <c r="E24" i="67"/>
  <c r="M23" i="67"/>
  <c r="P23" i="67" s="1"/>
  <c r="Q23" i="67" s="1"/>
  <c r="F23" i="67"/>
  <c r="E23" i="67"/>
  <c r="M22" i="67"/>
  <c r="P22" i="67" s="1"/>
  <c r="Q22" i="67" s="1"/>
  <c r="F22" i="67"/>
  <c r="E22" i="67"/>
  <c r="M21" i="67"/>
  <c r="P21" i="67" s="1"/>
  <c r="Q21" i="67" s="1"/>
  <c r="F21" i="67"/>
  <c r="E21" i="67"/>
  <c r="M20" i="67"/>
  <c r="N20" i="67" s="1"/>
  <c r="F20" i="67"/>
  <c r="E20" i="67"/>
  <c r="M19" i="67"/>
  <c r="N19" i="67" s="1"/>
  <c r="F19" i="67"/>
  <c r="E19" i="67"/>
  <c r="G19" i="67" s="1"/>
  <c r="M18" i="67"/>
  <c r="P18" i="67" s="1"/>
  <c r="Q18" i="67" s="1"/>
  <c r="F18" i="67"/>
  <c r="E18" i="67"/>
  <c r="M17" i="67"/>
  <c r="P17" i="67" s="1"/>
  <c r="Q17" i="67" s="1"/>
  <c r="F17" i="67"/>
  <c r="E17" i="67"/>
  <c r="M16" i="67"/>
  <c r="N16" i="67" s="1"/>
  <c r="F16" i="67"/>
  <c r="E16" i="67"/>
  <c r="M15" i="67"/>
  <c r="P15" i="67" s="1"/>
  <c r="Q15" i="67" s="1"/>
  <c r="F15" i="67"/>
  <c r="E15" i="67"/>
  <c r="G15" i="67" s="1"/>
  <c r="M14" i="67"/>
  <c r="P14" i="67" s="1"/>
  <c r="Q14" i="67" s="1"/>
  <c r="F14" i="67"/>
  <c r="E14" i="67"/>
  <c r="M13" i="67"/>
  <c r="P13" i="67" s="1"/>
  <c r="Q13" i="67" s="1"/>
  <c r="F13" i="67"/>
  <c r="E13" i="67"/>
  <c r="M12" i="67"/>
  <c r="N12" i="67" s="1"/>
  <c r="F12" i="67"/>
  <c r="E12" i="67"/>
  <c r="M11" i="67"/>
  <c r="N11" i="67" s="1"/>
  <c r="F11" i="67"/>
  <c r="E11" i="67"/>
  <c r="G11" i="67" s="1"/>
  <c r="M10" i="67"/>
  <c r="P10" i="67" s="1"/>
  <c r="Q10" i="67" s="1"/>
  <c r="F10" i="67"/>
  <c r="E10" i="67"/>
  <c r="M9" i="67"/>
  <c r="N9" i="67" s="1"/>
  <c r="F9" i="67"/>
  <c r="E9" i="67"/>
  <c r="M8" i="67"/>
  <c r="P8" i="67" s="1"/>
  <c r="Q8" i="67" s="1"/>
  <c r="F8" i="67"/>
  <c r="E8" i="67"/>
  <c r="M7" i="67"/>
  <c r="P7" i="67" s="1"/>
  <c r="Q7" i="67" s="1"/>
  <c r="F7" i="67"/>
  <c r="E7" i="67"/>
  <c r="G7" i="67" s="1"/>
  <c r="M6" i="67"/>
  <c r="P6" i="67" s="1"/>
  <c r="Q6" i="67" s="1"/>
  <c r="F6" i="67"/>
  <c r="E6" i="67"/>
  <c r="M5" i="67"/>
  <c r="P5" i="67" s="1"/>
  <c r="Q5" i="67" s="1"/>
  <c r="F5" i="67"/>
  <c r="E5" i="67"/>
  <c r="P4" i="67"/>
  <c r="N4" i="67"/>
  <c r="M42" i="66"/>
  <c r="G6" i="67" l="1"/>
  <c r="G14" i="67"/>
  <c r="G18" i="67"/>
  <c r="G22" i="67"/>
  <c r="G30" i="67"/>
  <c r="G38" i="67"/>
  <c r="G49" i="67"/>
  <c r="G12" i="67"/>
  <c r="G20" i="67"/>
  <c r="G36" i="67"/>
  <c r="G43" i="67"/>
  <c r="G51" i="67"/>
  <c r="G55" i="67"/>
  <c r="G59" i="68"/>
  <c r="N59" i="68"/>
  <c r="G9" i="67"/>
  <c r="G17" i="67"/>
  <c r="G25" i="67"/>
  <c r="G33" i="67"/>
  <c r="G41" i="67"/>
  <c r="G44" i="67"/>
  <c r="G34" i="67"/>
  <c r="G42" i="67"/>
  <c r="G45" i="67"/>
  <c r="G53" i="67"/>
  <c r="G16" i="67"/>
  <c r="G5" i="67"/>
  <c r="G13" i="67"/>
  <c r="G29" i="67"/>
  <c r="G37" i="67"/>
  <c r="P59" i="68"/>
  <c r="Q59" i="68"/>
  <c r="G40" i="67"/>
  <c r="G48" i="67"/>
  <c r="F58" i="67"/>
  <c r="G10" i="67"/>
  <c r="G23" i="67"/>
  <c r="G28" i="67"/>
  <c r="G54" i="67"/>
  <c r="H64" i="67"/>
  <c r="G32" i="67"/>
  <c r="G24" i="67"/>
  <c r="G8" i="67"/>
  <c r="G21" i="67"/>
  <c r="G26" i="67"/>
  <c r="G39" i="67"/>
  <c r="G47" i="67"/>
  <c r="G52" i="67"/>
  <c r="P19" i="67"/>
  <c r="Q19" i="67" s="1"/>
  <c r="P52" i="67"/>
  <c r="Q52" i="67" s="1"/>
  <c r="N30" i="67"/>
  <c r="N6" i="67"/>
  <c r="N35" i="67"/>
  <c r="N46" i="67"/>
  <c r="P9" i="67"/>
  <c r="Q9" i="67" s="1"/>
  <c r="P44" i="67"/>
  <c r="Q44" i="67" s="1"/>
  <c r="N51" i="67"/>
  <c r="P28" i="67"/>
  <c r="Q28" i="67" s="1"/>
  <c r="P11" i="67"/>
  <c r="Q11" i="67" s="1"/>
  <c r="P20" i="67"/>
  <c r="Q20" i="67" s="1"/>
  <c r="N27" i="67"/>
  <c r="N38" i="67"/>
  <c r="N22" i="67"/>
  <c r="N14" i="67"/>
  <c r="P36" i="67"/>
  <c r="Q36" i="67" s="1"/>
  <c r="N43" i="67"/>
  <c r="P12" i="67"/>
  <c r="Q12" i="67" s="1"/>
  <c r="N54" i="67"/>
  <c r="M58" i="67"/>
  <c r="H61" i="67" s="1"/>
  <c r="N10" i="67"/>
  <c r="N18" i="67"/>
  <c r="N34" i="67"/>
  <c r="N50" i="67"/>
  <c r="E58" i="67"/>
  <c r="Q4" i="67"/>
  <c r="N26" i="67"/>
  <c r="N42" i="67"/>
  <c r="N8" i="67"/>
  <c r="N24" i="67"/>
  <c r="N32" i="67"/>
  <c r="N40" i="67"/>
  <c r="N48" i="67"/>
  <c r="P49" i="67"/>
  <c r="Q49" i="67" s="1"/>
  <c r="N7" i="67"/>
  <c r="N15" i="67"/>
  <c r="P16" i="67"/>
  <c r="Q16" i="67" s="1"/>
  <c r="N23" i="67"/>
  <c r="N31" i="67"/>
  <c r="N39" i="67"/>
  <c r="N47" i="67"/>
  <c r="N55" i="67"/>
  <c r="N17" i="67"/>
  <c r="N25" i="67"/>
  <c r="N33" i="67"/>
  <c r="N41" i="67"/>
  <c r="N5" i="67"/>
  <c r="N13" i="67"/>
  <c r="N21" i="67"/>
  <c r="N29" i="67"/>
  <c r="N37" i="67"/>
  <c r="N45" i="67"/>
  <c r="N53" i="67"/>
  <c r="M44" i="66"/>
  <c r="P44" i="66" s="1"/>
  <c r="Q44" i="66" s="1"/>
  <c r="P42" i="66"/>
  <c r="Q42" i="66" s="1"/>
  <c r="M41" i="66"/>
  <c r="P41" i="66" s="1"/>
  <c r="Q41" i="66" s="1"/>
  <c r="M21" i="66"/>
  <c r="N21" i="66" s="1"/>
  <c r="M14" i="66"/>
  <c r="P14" i="66" s="1"/>
  <c r="Q14" i="66" s="1"/>
  <c r="M9" i="66"/>
  <c r="P9" i="66" s="1"/>
  <c r="Q9" i="66" s="1"/>
  <c r="M55" i="66"/>
  <c r="P55" i="66" s="1"/>
  <c r="Q55" i="66" s="1"/>
  <c r="F55" i="66"/>
  <c r="E55" i="66"/>
  <c r="G55" i="66" s="1"/>
  <c r="H63" i="66"/>
  <c r="H62" i="66"/>
  <c r="K58" i="66"/>
  <c r="J58" i="66"/>
  <c r="J60" i="66" s="1"/>
  <c r="I58" i="66"/>
  <c r="I60" i="66" s="1"/>
  <c r="H58" i="66"/>
  <c r="D58" i="66"/>
  <c r="C58" i="66"/>
  <c r="M56" i="66"/>
  <c r="P56" i="66" s="1"/>
  <c r="Q56" i="66" s="1"/>
  <c r="F56" i="66"/>
  <c r="E56" i="66"/>
  <c r="M54" i="66"/>
  <c r="P54" i="66" s="1"/>
  <c r="Q54" i="66" s="1"/>
  <c r="F54" i="66"/>
  <c r="E54" i="66"/>
  <c r="M53" i="66"/>
  <c r="N53" i="66" s="1"/>
  <c r="F53" i="66"/>
  <c r="E53" i="66"/>
  <c r="M52" i="66"/>
  <c r="N52" i="66" s="1"/>
  <c r="F52" i="66"/>
  <c r="E52" i="66"/>
  <c r="M51" i="66"/>
  <c r="N51" i="66" s="1"/>
  <c r="F51" i="66"/>
  <c r="E51" i="66"/>
  <c r="M50" i="66"/>
  <c r="P50" i="66" s="1"/>
  <c r="Q50" i="66" s="1"/>
  <c r="F50" i="66"/>
  <c r="E50" i="66"/>
  <c r="M49" i="66"/>
  <c r="P49" i="66" s="1"/>
  <c r="Q49" i="66" s="1"/>
  <c r="F49" i="66"/>
  <c r="E49" i="66"/>
  <c r="M48" i="66"/>
  <c r="F48" i="66"/>
  <c r="E48" i="66"/>
  <c r="M47" i="66"/>
  <c r="P47" i="66" s="1"/>
  <c r="Q47" i="66" s="1"/>
  <c r="F47" i="66"/>
  <c r="E47" i="66"/>
  <c r="M46" i="66"/>
  <c r="P46" i="66" s="1"/>
  <c r="Q46" i="66" s="1"/>
  <c r="F46" i="66"/>
  <c r="E46" i="66"/>
  <c r="M45" i="66"/>
  <c r="N45" i="66" s="1"/>
  <c r="F45" i="66"/>
  <c r="E45" i="66"/>
  <c r="F44" i="66"/>
  <c r="E44" i="66"/>
  <c r="M43" i="66"/>
  <c r="N43" i="66" s="1"/>
  <c r="F43" i="66"/>
  <c r="E43" i="66"/>
  <c r="F42" i="66"/>
  <c r="E42" i="66"/>
  <c r="G42" i="66" s="1"/>
  <c r="F41" i="66"/>
  <c r="E41" i="66"/>
  <c r="M40" i="66"/>
  <c r="F40" i="66"/>
  <c r="E40" i="66"/>
  <c r="M39" i="66"/>
  <c r="P39" i="66" s="1"/>
  <c r="Q39" i="66" s="1"/>
  <c r="F39" i="66"/>
  <c r="E39" i="66"/>
  <c r="M38" i="66"/>
  <c r="P38" i="66" s="1"/>
  <c r="Q38" i="66" s="1"/>
  <c r="F38" i="66"/>
  <c r="E38" i="66"/>
  <c r="M37" i="66"/>
  <c r="N37" i="66" s="1"/>
  <c r="F37" i="66"/>
  <c r="E37" i="66"/>
  <c r="M36" i="66"/>
  <c r="P36" i="66" s="1"/>
  <c r="Q36" i="66" s="1"/>
  <c r="F36" i="66"/>
  <c r="E36" i="66"/>
  <c r="M35" i="66"/>
  <c r="N35" i="66" s="1"/>
  <c r="F35" i="66"/>
  <c r="E35" i="66"/>
  <c r="M34" i="66"/>
  <c r="P34" i="66" s="1"/>
  <c r="Q34" i="66" s="1"/>
  <c r="F34" i="66"/>
  <c r="E34" i="66"/>
  <c r="G34" i="66" s="1"/>
  <c r="M33" i="66"/>
  <c r="P33" i="66" s="1"/>
  <c r="Q33" i="66" s="1"/>
  <c r="F33" i="66"/>
  <c r="E33" i="66"/>
  <c r="M32" i="66"/>
  <c r="F32" i="66"/>
  <c r="E32" i="66"/>
  <c r="M31" i="66"/>
  <c r="P31" i="66" s="1"/>
  <c r="Q31" i="66" s="1"/>
  <c r="F31" i="66"/>
  <c r="E31" i="66"/>
  <c r="M30" i="66"/>
  <c r="P30" i="66" s="1"/>
  <c r="Q30" i="66" s="1"/>
  <c r="F30" i="66"/>
  <c r="E30" i="66"/>
  <c r="G30" i="66" s="1"/>
  <c r="M29" i="66"/>
  <c r="N29" i="66" s="1"/>
  <c r="F29" i="66"/>
  <c r="E29" i="66"/>
  <c r="M28" i="66"/>
  <c r="P28" i="66" s="1"/>
  <c r="Q28" i="66" s="1"/>
  <c r="F28" i="66"/>
  <c r="E28" i="66"/>
  <c r="M27" i="66"/>
  <c r="N27" i="66" s="1"/>
  <c r="F27" i="66"/>
  <c r="E27" i="66"/>
  <c r="M26" i="66"/>
  <c r="P26" i="66" s="1"/>
  <c r="Q26" i="66" s="1"/>
  <c r="F26" i="66"/>
  <c r="E26" i="66"/>
  <c r="G26" i="66" s="1"/>
  <c r="M25" i="66"/>
  <c r="P25" i="66" s="1"/>
  <c r="Q25" i="66" s="1"/>
  <c r="F25" i="66"/>
  <c r="E25" i="66"/>
  <c r="M24" i="66"/>
  <c r="F24" i="66"/>
  <c r="E24" i="66"/>
  <c r="M23" i="66"/>
  <c r="N23" i="66" s="1"/>
  <c r="F23" i="66"/>
  <c r="E23" i="66"/>
  <c r="M22" i="66"/>
  <c r="P22" i="66" s="1"/>
  <c r="Q22" i="66" s="1"/>
  <c r="F22" i="66"/>
  <c r="E22" i="66"/>
  <c r="F21" i="66"/>
  <c r="E21" i="66"/>
  <c r="M20" i="66"/>
  <c r="P20" i="66" s="1"/>
  <c r="Q20" i="66" s="1"/>
  <c r="F20" i="66"/>
  <c r="E20" i="66"/>
  <c r="M19" i="66"/>
  <c r="N19" i="66" s="1"/>
  <c r="F19" i="66"/>
  <c r="E19" i="66"/>
  <c r="L58" i="66"/>
  <c r="F18" i="66"/>
  <c r="E18" i="66"/>
  <c r="M17" i="66"/>
  <c r="P17" i="66" s="1"/>
  <c r="Q17" i="66" s="1"/>
  <c r="F17" i="66"/>
  <c r="E17" i="66"/>
  <c r="M16" i="66"/>
  <c r="P16" i="66" s="1"/>
  <c r="Q16" i="66" s="1"/>
  <c r="F16" i="66"/>
  <c r="E16" i="66"/>
  <c r="M15" i="66"/>
  <c r="F15" i="66"/>
  <c r="E15" i="66"/>
  <c r="F14" i="66"/>
  <c r="E14" i="66"/>
  <c r="M13" i="66"/>
  <c r="P13" i="66" s="1"/>
  <c r="Q13" i="66" s="1"/>
  <c r="F13" i="66"/>
  <c r="E13" i="66"/>
  <c r="M12" i="66"/>
  <c r="N12" i="66" s="1"/>
  <c r="F12" i="66"/>
  <c r="E12" i="66"/>
  <c r="M11" i="66"/>
  <c r="P11" i="66" s="1"/>
  <c r="Q11" i="66" s="1"/>
  <c r="F11" i="66"/>
  <c r="E11" i="66"/>
  <c r="M10" i="66"/>
  <c r="P10" i="66" s="1"/>
  <c r="Q10" i="66" s="1"/>
  <c r="F10" i="66"/>
  <c r="E10" i="66"/>
  <c r="G10" i="66" s="1"/>
  <c r="F9" i="66"/>
  <c r="E9" i="66"/>
  <c r="M8" i="66"/>
  <c r="P8" i="66" s="1"/>
  <c r="Q8" i="66" s="1"/>
  <c r="F8" i="66"/>
  <c r="E8" i="66"/>
  <c r="M7" i="66"/>
  <c r="F7" i="66"/>
  <c r="E7" i="66"/>
  <c r="M6" i="66"/>
  <c r="F6" i="66"/>
  <c r="E6" i="66"/>
  <c r="M5" i="66"/>
  <c r="F5" i="66"/>
  <c r="E5" i="66"/>
  <c r="P4" i="66"/>
  <c r="N4" i="66"/>
  <c r="L18" i="65"/>
  <c r="M44" i="65"/>
  <c r="M42" i="65"/>
  <c r="M41" i="65"/>
  <c r="M21" i="65"/>
  <c r="M14" i="65"/>
  <c r="M9" i="65"/>
  <c r="G18" i="66" l="1"/>
  <c r="G54" i="66"/>
  <c r="G7" i="66"/>
  <c r="G17" i="66"/>
  <c r="G32" i="66"/>
  <c r="G33" i="66"/>
  <c r="G43" i="66"/>
  <c r="G50" i="66"/>
  <c r="G9" i="66"/>
  <c r="G12" i="66"/>
  <c r="G20" i="66"/>
  <c r="G31" i="66"/>
  <c r="G53" i="66"/>
  <c r="F58" i="66"/>
  <c r="G14" i="66"/>
  <c r="G49" i="66"/>
  <c r="G41" i="66"/>
  <c r="G8" i="66"/>
  <c r="G16" i="66"/>
  <c r="P19" i="66"/>
  <c r="Q19" i="66" s="1"/>
  <c r="G21" i="66"/>
  <c r="G24" i="66"/>
  <c r="G25" i="66"/>
  <c r="G38" i="66"/>
  <c r="G44" i="66"/>
  <c r="G51" i="66"/>
  <c r="R59" i="68"/>
  <c r="G58" i="67"/>
  <c r="N58" i="67"/>
  <c r="Q58" i="67"/>
  <c r="P58" i="67"/>
  <c r="P52" i="66"/>
  <c r="Q52" i="66" s="1"/>
  <c r="P21" i="66"/>
  <c r="Q21" i="66" s="1"/>
  <c r="N17" i="66"/>
  <c r="P35" i="66"/>
  <c r="Q35" i="66" s="1"/>
  <c r="P45" i="66"/>
  <c r="Q45" i="66" s="1"/>
  <c r="N20" i="66"/>
  <c r="P29" i="66"/>
  <c r="Q29" i="66" s="1"/>
  <c r="P51" i="66"/>
  <c r="Q51" i="66" s="1"/>
  <c r="P53" i="66"/>
  <c r="Q53" i="66" s="1"/>
  <c r="N55" i="66"/>
  <c r="G11" i="66"/>
  <c r="P12" i="66"/>
  <c r="Q12" i="66" s="1"/>
  <c r="G15" i="66"/>
  <c r="G23" i="66"/>
  <c r="P27" i="66"/>
  <c r="Q27" i="66" s="1"/>
  <c r="G36" i="66"/>
  <c r="P37" i="66"/>
  <c r="Q37" i="66" s="1"/>
  <c r="G48" i="66"/>
  <c r="G28" i="66"/>
  <c r="G40" i="66"/>
  <c r="G46" i="66"/>
  <c r="N44" i="66"/>
  <c r="E58" i="66"/>
  <c r="N9" i="66"/>
  <c r="N11" i="66"/>
  <c r="N36" i="66"/>
  <c r="G5" i="66"/>
  <c r="G22" i="66"/>
  <c r="N28" i="66"/>
  <c r="G35" i="66"/>
  <c r="G45" i="66"/>
  <c r="G56" i="66"/>
  <c r="G27" i="66"/>
  <c r="G37" i="66"/>
  <c r="G47" i="66"/>
  <c r="H64" i="66"/>
  <c r="G19" i="66"/>
  <c r="G29" i="66"/>
  <c r="G39" i="66"/>
  <c r="P43" i="66"/>
  <c r="Q43" i="66" s="1"/>
  <c r="G52" i="66"/>
  <c r="G6" i="66"/>
  <c r="N25" i="66"/>
  <c r="N33" i="66"/>
  <c r="N41" i="66"/>
  <c r="N49" i="66"/>
  <c r="P6" i="66"/>
  <c r="Q6" i="66" s="1"/>
  <c r="N6" i="66"/>
  <c r="N8" i="66"/>
  <c r="G13" i="66"/>
  <c r="N16" i="66"/>
  <c r="P24" i="66"/>
  <c r="Q24" i="66" s="1"/>
  <c r="N24" i="66"/>
  <c r="P32" i="66"/>
  <c r="Q32" i="66" s="1"/>
  <c r="N32" i="66"/>
  <c r="N40" i="66"/>
  <c r="P40" i="66"/>
  <c r="Q40" i="66" s="1"/>
  <c r="P48" i="66"/>
  <c r="Q48" i="66" s="1"/>
  <c r="N48" i="66"/>
  <c r="N10" i="66"/>
  <c r="M18" i="66"/>
  <c r="N7" i="66"/>
  <c r="P7" i="66"/>
  <c r="Q7" i="66" s="1"/>
  <c r="P15" i="66"/>
  <c r="Q15" i="66" s="1"/>
  <c r="N15" i="66"/>
  <c r="N26" i="66"/>
  <c r="N34" i="66"/>
  <c r="N42" i="66"/>
  <c r="N50" i="66"/>
  <c r="Q4" i="66"/>
  <c r="N14" i="66"/>
  <c r="N47" i="66"/>
  <c r="N56" i="66"/>
  <c r="P23" i="66"/>
  <c r="Q23" i="66" s="1"/>
  <c r="N54" i="66"/>
  <c r="N31" i="66"/>
  <c r="N39" i="66"/>
  <c r="N5" i="66"/>
  <c r="N13" i="66"/>
  <c r="N22" i="66"/>
  <c r="N30" i="66"/>
  <c r="N38" i="66"/>
  <c r="N46" i="66"/>
  <c r="P5" i="66"/>
  <c r="Q5" i="66" s="1"/>
  <c r="P41" i="65"/>
  <c r="Q41" i="65" s="1"/>
  <c r="P14" i="65"/>
  <c r="Q14" i="65" s="1"/>
  <c r="H62" i="65"/>
  <c r="H61" i="65"/>
  <c r="L57" i="65"/>
  <c r="K57" i="65"/>
  <c r="J57" i="65"/>
  <c r="J59" i="65" s="1"/>
  <c r="I57" i="65"/>
  <c r="I59" i="65" s="1"/>
  <c r="H57" i="65"/>
  <c r="D57" i="65"/>
  <c r="C57" i="65"/>
  <c r="M55" i="65"/>
  <c r="N55" i="65" s="1"/>
  <c r="F55" i="65"/>
  <c r="E55" i="65"/>
  <c r="M54" i="65"/>
  <c r="P54" i="65" s="1"/>
  <c r="Q54" i="65" s="1"/>
  <c r="F54" i="65"/>
  <c r="E54" i="65"/>
  <c r="G54" i="65" s="1"/>
  <c r="M53" i="65"/>
  <c r="N53" i="65" s="1"/>
  <c r="F53" i="65"/>
  <c r="E53" i="65"/>
  <c r="M52" i="65"/>
  <c r="P52" i="65" s="1"/>
  <c r="Q52" i="65" s="1"/>
  <c r="F52" i="65"/>
  <c r="E52" i="65"/>
  <c r="M51" i="65"/>
  <c r="N51" i="65" s="1"/>
  <c r="F51" i="65"/>
  <c r="E51" i="65"/>
  <c r="M50" i="65"/>
  <c r="P50" i="65" s="1"/>
  <c r="Q50" i="65" s="1"/>
  <c r="F50" i="65"/>
  <c r="E50" i="65"/>
  <c r="M49" i="65"/>
  <c r="P49" i="65" s="1"/>
  <c r="Q49" i="65" s="1"/>
  <c r="F49" i="65"/>
  <c r="E49" i="65"/>
  <c r="M48" i="65"/>
  <c r="P48" i="65" s="1"/>
  <c r="Q48" i="65" s="1"/>
  <c r="F48" i="65"/>
  <c r="E48" i="65"/>
  <c r="M47" i="65"/>
  <c r="P47" i="65" s="1"/>
  <c r="Q47" i="65" s="1"/>
  <c r="F47" i="65"/>
  <c r="E47" i="65"/>
  <c r="M46" i="65"/>
  <c r="P46" i="65" s="1"/>
  <c r="Q46" i="65" s="1"/>
  <c r="F46" i="65"/>
  <c r="E46" i="65"/>
  <c r="M45" i="65"/>
  <c r="N45" i="65" s="1"/>
  <c r="F45" i="65"/>
  <c r="E45" i="65"/>
  <c r="P44" i="65"/>
  <c r="Q44" i="65" s="1"/>
  <c r="F44" i="65"/>
  <c r="E44" i="65"/>
  <c r="M43" i="65"/>
  <c r="N43" i="65" s="1"/>
  <c r="F43" i="65"/>
  <c r="E43" i="65"/>
  <c r="N42" i="65"/>
  <c r="F42" i="65"/>
  <c r="E42" i="65"/>
  <c r="F41" i="65"/>
  <c r="E41" i="65"/>
  <c r="M40" i="65"/>
  <c r="P40" i="65" s="1"/>
  <c r="Q40" i="65" s="1"/>
  <c r="F40" i="65"/>
  <c r="E40" i="65"/>
  <c r="M39" i="65"/>
  <c r="N39" i="65" s="1"/>
  <c r="F39" i="65"/>
  <c r="E39" i="65"/>
  <c r="M38" i="65"/>
  <c r="P38" i="65" s="1"/>
  <c r="Q38" i="65" s="1"/>
  <c r="F38" i="65"/>
  <c r="E38" i="65"/>
  <c r="M37" i="65"/>
  <c r="N37" i="65" s="1"/>
  <c r="F37" i="65"/>
  <c r="E37" i="65"/>
  <c r="M36" i="65"/>
  <c r="N36" i="65" s="1"/>
  <c r="F36" i="65"/>
  <c r="E36" i="65"/>
  <c r="M35" i="65"/>
  <c r="P35" i="65" s="1"/>
  <c r="Q35" i="65" s="1"/>
  <c r="F35" i="65"/>
  <c r="E35" i="65"/>
  <c r="G35" i="65" s="1"/>
  <c r="M34" i="65"/>
  <c r="P34" i="65" s="1"/>
  <c r="Q34" i="65" s="1"/>
  <c r="F34" i="65"/>
  <c r="E34" i="65"/>
  <c r="M33" i="65"/>
  <c r="P33" i="65" s="1"/>
  <c r="Q33" i="65" s="1"/>
  <c r="F33" i="65"/>
  <c r="E33" i="65"/>
  <c r="M32" i="65"/>
  <c r="P32" i="65" s="1"/>
  <c r="Q32" i="65" s="1"/>
  <c r="F32" i="65"/>
  <c r="E32" i="65"/>
  <c r="M31" i="65"/>
  <c r="N31" i="65" s="1"/>
  <c r="F31" i="65"/>
  <c r="E31" i="65"/>
  <c r="M30" i="65"/>
  <c r="P30" i="65" s="1"/>
  <c r="Q30" i="65" s="1"/>
  <c r="F30" i="65"/>
  <c r="E30" i="65"/>
  <c r="M29" i="65"/>
  <c r="N29" i="65" s="1"/>
  <c r="F29" i="65"/>
  <c r="E29" i="65"/>
  <c r="M28" i="65"/>
  <c r="P28" i="65" s="1"/>
  <c r="Q28" i="65" s="1"/>
  <c r="F28" i="65"/>
  <c r="E28" i="65"/>
  <c r="M27" i="65"/>
  <c r="P27" i="65" s="1"/>
  <c r="Q27" i="65" s="1"/>
  <c r="F27" i="65"/>
  <c r="E27" i="65"/>
  <c r="G27" i="65" s="1"/>
  <c r="M26" i="65"/>
  <c r="P26" i="65" s="1"/>
  <c r="Q26" i="65" s="1"/>
  <c r="F26" i="65"/>
  <c r="E26" i="65"/>
  <c r="M25" i="65"/>
  <c r="P25" i="65" s="1"/>
  <c r="Q25" i="65" s="1"/>
  <c r="F25" i="65"/>
  <c r="E25" i="65"/>
  <c r="M24" i="65"/>
  <c r="P24" i="65" s="1"/>
  <c r="Q24" i="65" s="1"/>
  <c r="F24" i="65"/>
  <c r="E24" i="65"/>
  <c r="M23" i="65"/>
  <c r="N23" i="65" s="1"/>
  <c r="F23" i="65"/>
  <c r="E23" i="65"/>
  <c r="M22" i="65"/>
  <c r="P22" i="65" s="1"/>
  <c r="Q22" i="65" s="1"/>
  <c r="F22" i="65"/>
  <c r="E22" i="65"/>
  <c r="N21" i="65"/>
  <c r="F21" i="65"/>
  <c r="E21" i="65"/>
  <c r="M20" i="65"/>
  <c r="N20" i="65" s="1"/>
  <c r="F20" i="65"/>
  <c r="E20" i="65"/>
  <c r="M19" i="65"/>
  <c r="P19" i="65" s="1"/>
  <c r="Q19" i="65" s="1"/>
  <c r="F19" i="65"/>
  <c r="E19" i="65"/>
  <c r="M18" i="65"/>
  <c r="P18" i="65" s="1"/>
  <c r="Q18" i="65" s="1"/>
  <c r="F18" i="65"/>
  <c r="E18" i="65"/>
  <c r="M17" i="65"/>
  <c r="N17" i="65" s="1"/>
  <c r="F17" i="65"/>
  <c r="E17" i="65"/>
  <c r="M16" i="65"/>
  <c r="P16" i="65" s="1"/>
  <c r="Q16" i="65" s="1"/>
  <c r="F16" i="65"/>
  <c r="E16" i="65"/>
  <c r="M15" i="65"/>
  <c r="N15" i="65" s="1"/>
  <c r="F15" i="65"/>
  <c r="E15" i="65"/>
  <c r="F14" i="65"/>
  <c r="E14" i="65"/>
  <c r="G14" i="65" s="1"/>
  <c r="M13" i="65"/>
  <c r="N13" i="65" s="1"/>
  <c r="F13" i="65"/>
  <c r="E13" i="65"/>
  <c r="M12" i="65"/>
  <c r="P12" i="65" s="1"/>
  <c r="Q12" i="65" s="1"/>
  <c r="F12" i="65"/>
  <c r="E12" i="65"/>
  <c r="G12" i="65" s="1"/>
  <c r="M11" i="65"/>
  <c r="N11" i="65" s="1"/>
  <c r="F11" i="65"/>
  <c r="E11" i="65"/>
  <c r="M10" i="65"/>
  <c r="P10" i="65" s="1"/>
  <c r="Q10" i="65" s="1"/>
  <c r="F10" i="65"/>
  <c r="E10" i="65"/>
  <c r="P9" i="65"/>
  <c r="Q9" i="65" s="1"/>
  <c r="F9" i="65"/>
  <c r="E9" i="65"/>
  <c r="M8" i="65"/>
  <c r="P8" i="65" s="1"/>
  <c r="Q8" i="65" s="1"/>
  <c r="F8" i="65"/>
  <c r="E8" i="65"/>
  <c r="M7" i="65"/>
  <c r="N7" i="65" s="1"/>
  <c r="F7" i="65"/>
  <c r="E7" i="65"/>
  <c r="M6" i="65"/>
  <c r="P6" i="65" s="1"/>
  <c r="Q6" i="65" s="1"/>
  <c r="F6" i="65"/>
  <c r="E6" i="65"/>
  <c r="M5" i="65"/>
  <c r="N5" i="65" s="1"/>
  <c r="F5" i="65"/>
  <c r="E5" i="65"/>
  <c r="P4" i="65"/>
  <c r="N4" i="65"/>
  <c r="M41" i="64"/>
  <c r="M14" i="64"/>
  <c r="G34" i="65" l="1"/>
  <c r="G5" i="65"/>
  <c r="G28" i="65"/>
  <c r="G36" i="65"/>
  <c r="G40" i="65"/>
  <c r="G51" i="65"/>
  <c r="G25" i="65"/>
  <c r="G23" i="65"/>
  <c r="G39" i="65"/>
  <c r="G6" i="65"/>
  <c r="G18" i="65"/>
  <c r="G26" i="65"/>
  <c r="G53" i="65"/>
  <c r="H63" i="65"/>
  <c r="G58" i="66"/>
  <c r="G10" i="65"/>
  <c r="G9" i="65"/>
  <c r="G16" i="65"/>
  <c r="G17" i="65"/>
  <c r="G21" i="65"/>
  <c r="G38" i="65"/>
  <c r="G42" i="65"/>
  <c r="G45" i="65"/>
  <c r="G50" i="65"/>
  <c r="G7" i="65"/>
  <c r="G11" i="65"/>
  <c r="G20" i="65"/>
  <c r="G37" i="65"/>
  <c r="G44" i="65"/>
  <c r="G48" i="65"/>
  <c r="G52" i="65"/>
  <c r="R58" i="67"/>
  <c r="P18" i="66"/>
  <c r="Q18" i="66" s="1"/>
  <c r="Q58" i="66" s="1"/>
  <c r="N18" i="66"/>
  <c r="N58" i="66" s="1"/>
  <c r="M58" i="66"/>
  <c r="H61" i="66" s="1"/>
  <c r="P15" i="65"/>
  <c r="Q15" i="65" s="1"/>
  <c r="P7" i="65"/>
  <c r="Q7" i="65" s="1"/>
  <c r="P53" i="65"/>
  <c r="Q53" i="65" s="1"/>
  <c r="P36" i="65"/>
  <c r="Q36" i="65" s="1"/>
  <c r="P5" i="65"/>
  <c r="Q5" i="65" s="1"/>
  <c r="P51" i="65"/>
  <c r="Q51" i="65" s="1"/>
  <c r="N28" i="65"/>
  <c r="N50" i="65"/>
  <c r="P31" i="65"/>
  <c r="Q31" i="65" s="1"/>
  <c r="N38" i="65"/>
  <c r="E57" i="65"/>
  <c r="F57" i="65"/>
  <c r="N12" i="65"/>
  <c r="G19" i="65"/>
  <c r="P20" i="65"/>
  <c r="Q20" i="65" s="1"/>
  <c r="N22" i="65"/>
  <c r="G29" i="65"/>
  <c r="G31" i="65"/>
  <c r="G33" i="65"/>
  <c r="G46" i="65"/>
  <c r="N14" i="65"/>
  <c r="N30" i="65"/>
  <c r="N6" i="65"/>
  <c r="G13" i="65"/>
  <c r="G15" i="65"/>
  <c r="P37" i="65"/>
  <c r="Q37" i="65" s="1"/>
  <c r="P39" i="65"/>
  <c r="Q39" i="65" s="1"/>
  <c r="G49" i="65"/>
  <c r="N52" i="65"/>
  <c r="G41" i="65"/>
  <c r="P29" i="65"/>
  <c r="Q29" i="65" s="1"/>
  <c r="N44" i="65"/>
  <c r="G55" i="65"/>
  <c r="P21" i="65"/>
  <c r="Q21" i="65" s="1"/>
  <c r="P23" i="65"/>
  <c r="Q23" i="65" s="1"/>
  <c r="G30" i="65"/>
  <c r="G32" i="65"/>
  <c r="G47" i="65"/>
  <c r="P45" i="65"/>
  <c r="Q45" i="65" s="1"/>
  <c r="P13" i="65"/>
  <c r="Q13" i="65" s="1"/>
  <c r="G22" i="65"/>
  <c r="G24" i="65"/>
  <c r="G43" i="65"/>
  <c r="N27" i="65"/>
  <c r="N35" i="65"/>
  <c r="N49" i="65"/>
  <c r="Q4" i="65"/>
  <c r="G8" i="65"/>
  <c r="N10" i="65"/>
  <c r="P11" i="65"/>
  <c r="Q11" i="65" s="1"/>
  <c r="N18" i="65"/>
  <c r="N26" i="65"/>
  <c r="N34" i="65"/>
  <c r="P43" i="65"/>
  <c r="Q43" i="65" s="1"/>
  <c r="N48" i="65"/>
  <c r="N9" i="65"/>
  <c r="N25" i="65"/>
  <c r="N33" i="65"/>
  <c r="N41" i="65"/>
  <c r="P42" i="65"/>
  <c r="Q42" i="65" s="1"/>
  <c r="N47" i="65"/>
  <c r="N8" i="65"/>
  <c r="N16" i="65"/>
  <c r="P17" i="65"/>
  <c r="Q17" i="65" s="1"/>
  <c r="N24" i="65"/>
  <c r="N32" i="65"/>
  <c r="N40" i="65"/>
  <c r="N46" i="65"/>
  <c r="N54" i="65"/>
  <c r="P55" i="65"/>
  <c r="Q55" i="65" s="1"/>
  <c r="N19" i="65"/>
  <c r="M57" i="65"/>
  <c r="H60" i="65" s="1"/>
  <c r="M45" i="64"/>
  <c r="P45" i="64" s="1"/>
  <c r="Q45" i="64" s="1"/>
  <c r="N14" i="64"/>
  <c r="M16" i="64"/>
  <c r="P16" i="64" s="1"/>
  <c r="Q16" i="64" s="1"/>
  <c r="H63" i="64"/>
  <c r="H62" i="64"/>
  <c r="L58" i="64"/>
  <c r="K58" i="64"/>
  <c r="J58" i="64"/>
  <c r="J60" i="64" s="1"/>
  <c r="I58" i="64"/>
  <c r="I60" i="64" s="1"/>
  <c r="H58" i="64"/>
  <c r="D58" i="64"/>
  <c r="C58" i="64"/>
  <c r="M56" i="64"/>
  <c r="N56" i="64" s="1"/>
  <c r="F56" i="64"/>
  <c r="E56" i="64"/>
  <c r="M55" i="64"/>
  <c r="P55" i="64" s="1"/>
  <c r="Q55" i="64" s="1"/>
  <c r="F55" i="64"/>
  <c r="E55" i="64"/>
  <c r="M54" i="64"/>
  <c r="N54" i="64" s="1"/>
  <c r="F54" i="64"/>
  <c r="E54" i="64"/>
  <c r="M53" i="64"/>
  <c r="N53" i="64" s="1"/>
  <c r="F53" i="64"/>
  <c r="E53" i="64"/>
  <c r="M52" i="64"/>
  <c r="N52" i="64" s="1"/>
  <c r="F52" i="64"/>
  <c r="E52" i="64"/>
  <c r="M51" i="64"/>
  <c r="N51" i="64" s="1"/>
  <c r="F51" i="64"/>
  <c r="E51" i="64"/>
  <c r="M50" i="64"/>
  <c r="P50" i="64" s="1"/>
  <c r="Q50" i="64" s="1"/>
  <c r="F50" i="64"/>
  <c r="E50" i="64"/>
  <c r="M49" i="64"/>
  <c r="P49" i="64" s="1"/>
  <c r="Q49" i="64" s="1"/>
  <c r="F49" i="64"/>
  <c r="E49" i="64"/>
  <c r="M48" i="64"/>
  <c r="N48" i="64" s="1"/>
  <c r="F48" i="64"/>
  <c r="E48" i="64"/>
  <c r="M47" i="64"/>
  <c r="P47" i="64" s="1"/>
  <c r="Q47" i="64" s="1"/>
  <c r="F47" i="64"/>
  <c r="E47" i="64"/>
  <c r="M46" i="64"/>
  <c r="N46" i="64" s="1"/>
  <c r="F46" i="64"/>
  <c r="E46" i="64"/>
  <c r="F45" i="64"/>
  <c r="E45" i="64"/>
  <c r="G45" i="64" s="1"/>
  <c r="N44" i="64"/>
  <c r="F44" i="64"/>
  <c r="E44" i="64"/>
  <c r="M43" i="64"/>
  <c r="P43" i="64" s="1"/>
  <c r="Q43" i="64" s="1"/>
  <c r="F43" i="64"/>
  <c r="E43" i="64"/>
  <c r="G43" i="64" s="1"/>
  <c r="M42" i="64"/>
  <c r="P42" i="64" s="1"/>
  <c r="Q42" i="64" s="1"/>
  <c r="F42" i="64"/>
  <c r="E42" i="64"/>
  <c r="N41" i="64"/>
  <c r="F41" i="64"/>
  <c r="E41" i="64"/>
  <c r="M40" i="64"/>
  <c r="P40" i="64" s="1"/>
  <c r="Q40" i="64" s="1"/>
  <c r="F40" i="64"/>
  <c r="E40" i="64"/>
  <c r="M39" i="64"/>
  <c r="P39" i="64" s="1"/>
  <c r="Q39" i="64" s="1"/>
  <c r="F39" i="64"/>
  <c r="E39" i="64"/>
  <c r="G39" i="64" s="1"/>
  <c r="M38" i="64"/>
  <c r="N38" i="64" s="1"/>
  <c r="F38" i="64"/>
  <c r="E38" i="64"/>
  <c r="M37" i="64"/>
  <c r="P37" i="64" s="1"/>
  <c r="Q37" i="64" s="1"/>
  <c r="F37" i="64"/>
  <c r="E37" i="64"/>
  <c r="M36" i="64"/>
  <c r="N36" i="64" s="1"/>
  <c r="F36" i="64"/>
  <c r="E36" i="64"/>
  <c r="M35" i="64"/>
  <c r="P35" i="64" s="1"/>
  <c r="Q35" i="64" s="1"/>
  <c r="F35" i="64"/>
  <c r="E35" i="64"/>
  <c r="M34" i="64"/>
  <c r="P34" i="64" s="1"/>
  <c r="Q34" i="64" s="1"/>
  <c r="F34" i="64"/>
  <c r="E34" i="64"/>
  <c r="M33" i="64"/>
  <c r="N33" i="64" s="1"/>
  <c r="F33" i="64"/>
  <c r="E33" i="64"/>
  <c r="M32" i="64"/>
  <c r="P32" i="64" s="1"/>
  <c r="Q32" i="64" s="1"/>
  <c r="F32" i="64"/>
  <c r="E32" i="64"/>
  <c r="M31" i="64"/>
  <c r="P31" i="64" s="1"/>
  <c r="Q31" i="64" s="1"/>
  <c r="F31" i="64"/>
  <c r="E31" i="64"/>
  <c r="M30" i="64"/>
  <c r="N30" i="64" s="1"/>
  <c r="F30" i="64"/>
  <c r="E30" i="64"/>
  <c r="M29" i="64"/>
  <c r="P29" i="64" s="1"/>
  <c r="Q29" i="64" s="1"/>
  <c r="F29" i="64"/>
  <c r="E29" i="64"/>
  <c r="M28" i="64"/>
  <c r="N28" i="64" s="1"/>
  <c r="F28" i="64"/>
  <c r="E28" i="64"/>
  <c r="M27" i="64"/>
  <c r="N27" i="64" s="1"/>
  <c r="F27" i="64"/>
  <c r="E27" i="64"/>
  <c r="G27" i="64" s="1"/>
  <c r="M26" i="64"/>
  <c r="P26" i="64" s="1"/>
  <c r="Q26" i="64" s="1"/>
  <c r="F26" i="64"/>
  <c r="E26" i="64"/>
  <c r="M25" i="64"/>
  <c r="N25" i="64" s="1"/>
  <c r="F25" i="64"/>
  <c r="E25" i="64"/>
  <c r="G25" i="64" s="1"/>
  <c r="M24" i="64"/>
  <c r="P24" i="64" s="1"/>
  <c r="Q24" i="64" s="1"/>
  <c r="F24" i="64"/>
  <c r="E24" i="64"/>
  <c r="M23" i="64"/>
  <c r="P23" i="64" s="1"/>
  <c r="Q23" i="64" s="1"/>
  <c r="F23" i="64"/>
  <c r="E23" i="64"/>
  <c r="M22" i="64"/>
  <c r="N22" i="64" s="1"/>
  <c r="F22" i="64"/>
  <c r="E22" i="64"/>
  <c r="G22" i="64" s="1"/>
  <c r="M21" i="64"/>
  <c r="P21" i="64" s="1"/>
  <c r="Q21" i="64" s="1"/>
  <c r="F21" i="64"/>
  <c r="E21" i="64"/>
  <c r="M20" i="64"/>
  <c r="N20" i="64" s="1"/>
  <c r="F20" i="64"/>
  <c r="E20" i="64"/>
  <c r="M19" i="64"/>
  <c r="P19" i="64" s="1"/>
  <c r="Q19" i="64" s="1"/>
  <c r="F19" i="64"/>
  <c r="E19" i="64"/>
  <c r="M18" i="64"/>
  <c r="P18" i="64" s="1"/>
  <c r="Q18" i="64" s="1"/>
  <c r="F18" i="64"/>
  <c r="E18" i="64"/>
  <c r="G18" i="64" s="1"/>
  <c r="M17" i="64"/>
  <c r="N17" i="64" s="1"/>
  <c r="F17" i="64"/>
  <c r="E17" i="64"/>
  <c r="G17" i="64" s="1"/>
  <c r="F16" i="64"/>
  <c r="E16" i="64"/>
  <c r="M15" i="64"/>
  <c r="P15" i="64" s="1"/>
  <c r="Q15" i="64" s="1"/>
  <c r="F15" i="64"/>
  <c r="E15" i="64"/>
  <c r="F14" i="64"/>
  <c r="E14" i="64"/>
  <c r="M13" i="64"/>
  <c r="P13" i="64" s="1"/>
  <c r="Q13" i="64" s="1"/>
  <c r="F13" i="64"/>
  <c r="E13" i="64"/>
  <c r="M12" i="64"/>
  <c r="N12" i="64" s="1"/>
  <c r="F12" i="64"/>
  <c r="E12" i="64"/>
  <c r="M11" i="64"/>
  <c r="P11" i="64" s="1"/>
  <c r="Q11" i="64" s="1"/>
  <c r="F11" i="64"/>
  <c r="E11" i="64"/>
  <c r="M10" i="64"/>
  <c r="P10" i="64" s="1"/>
  <c r="Q10" i="64" s="1"/>
  <c r="F10" i="64"/>
  <c r="E10" i="64"/>
  <c r="M9" i="64"/>
  <c r="N9" i="64" s="1"/>
  <c r="F9" i="64"/>
  <c r="E9" i="64"/>
  <c r="M8" i="64"/>
  <c r="N8" i="64" s="1"/>
  <c r="F8" i="64"/>
  <c r="E8" i="64"/>
  <c r="M7" i="64"/>
  <c r="P7" i="64" s="1"/>
  <c r="Q7" i="64" s="1"/>
  <c r="F7" i="64"/>
  <c r="E7" i="64"/>
  <c r="M6" i="64"/>
  <c r="N6" i="64" s="1"/>
  <c r="F6" i="64"/>
  <c r="E6" i="64"/>
  <c r="M5" i="64"/>
  <c r="F5" i="64"/>
  <c r="E5" i="64"/>
  <c r="P4" i="64"/>
  <c r="N4" i="64"/>
  <c r="M45" i="63"/>
  <c r="M41" i="63"/>
  <c r="M16" i="63"/>
  <c r="M14" i="63"/>
  <c r="G11" i="64" l="1"/>
  <c r="G42" i="64"/>
  <c r="G5" i="64"/>
  <c r="G9" i="64"/>
  <c r="G23" i="64"/>
  <c r="G24" i="64"/>
  <c r="G28" i="64"/>
  <c r="G41" i="64"/>
  <c r="G55" i="64"/>
  <c r="G16" i="64"/>
  <c r="G34" i="64"/>
  <c r="G35" i="64"/>
  <c r="G51" i="64"/>
  <c r="G54" i="64"/>
  <c r="H64" i="64"/>
  <c r="G19" i="64"/>
  <c r="G56" i="64"/>
  <c r="G10" i="64"/>
  <c r="G14" i="64"/>
  <c r="G29" i="64"/>
  <c r="G33" i="64"/>
  <c r="G49" i="64"/>
  <c r="G40" i="64"/>
  <c r="G50" i="64"/>
  <c r="G7" i="64"/>
  <c r="G8" i="64"/>
  <c r="G13" i="64"/>
  <c r="G21" i="64"/>
  <c r="G26" i="64"/>
  <c r="G31" i="64"/>
  <c r="G32" i="64"/>
  <c r="P36" i="64"/>
  <c r="Q36" i="64" s="1"/>
  <c r="G38" i="64"/>
  <c r="G44" i="64"/>
  <c r="G47" i="64"/>
  <c r="G48" i="64"/>
  <c r="G53" i="64"/>
  <c r="G6" i="64"/>
  <c r="F58" i="64"/>
  <c r="G12" i="64"/>
  <c r="G15" i="64"/>
  <c r="G20" i="64"/>
  <c r="G30" i="64"/>
  <c r="G36" i="64"/>
  <c r="G37" i="64"/>
  <c r="G46" i="64"/>
  <c r="G52" i="64"/>
  <c r="P58" i="66"/>
  <c r="R58" i="66"/>
  <c r="G57" i="65"/>
  <c r="N57" i="65"/>
  <c r="Q57" i="65"/>
  <c r="P57" i="65"/>
  <c r="P51" i="64"/>
  <c r="Q51" i="64" s="1"/>
  <c r="N45" i="64"/>
  <c r="P54" i="64"/>
  <c r="Q54" i="64" s="1"/>
  <c r="P53" i="64"/>
  <c r="Q53" i="64" s="1"/>
  <c r="P52" i="64"/>
  <c r="Q52" i="64" s="1"/>
  <c r="P46" i="64"/>
  <c r="Q46" i="64" s="1"/>
  <c r="P44" i="64"/>
  <c r="Q44" i="64" s="1"/>
  <c r="N43" i="64"/>
  <c r="P38" i="64"/>
  <c r="Q38" i="64" s="1"/>
  <c r="N37" i="64"/>
  <c r="N35" i="64"/>
  <c r="P30" i="64"/>
  <c r="Q30" i="64" s="1"/>
  <c r="N29" i="64"/>
  <c r="P28" i="64"/>
  <c r="Q28" i="64" s="1"/>
  <c r="P27" i="64"/>
  <c r="Q27" i="64" s="1"/>
  <c r="P22" i="64"/>
  <c r="Q22" i="64" s="1"/>
  <c r="N21" i="64"/>
  <c r="P20" i="64"/>
  <c r="Q20" i="64" s="1"/>
  <c r="N19" i="64"/>
  <c r="P14" i="64"/>
  <c r="Q14" i="64" s="1"/>
  <c r="N13" i="64"/>
  <c r="P12" i="64"/>
  <c r="Q12" i="64" s="1"/>
  <c r="N11" i="64"/>
  <c r="P6" i="64"/>
  <c r="Q6" i="64" s="1"/>
  <c r="M58" i="64"/>
  <c r="H61" i="64" s="1"/>
  <c r="N5" i="64"/>
  <c r="P9" i="64"/>
  <c r="Q9" i="64" s="1"/>
  <c r="N16" i="64"/>
  <c r="P17" i="64"/>
  <c r="Q17" i="64" s="1"/>
  <c r="N24" i="64"/>
  <c r="P25" i="64"/>
  <c r="Q25" i="64" s="1"/>
  <c r="N32" i="64"/>
  <c r="P33" i="64"/>
  <c r="Q33" i="64" s="1"/>
  <c r="N40" i="64"/>
  <c r="P41" i="64"/>
  <c r="Q41" i="64" s="1"/>
  <c r="N7" i="64"/>
  <c r="P8" i="64"/>
  <c r="Q8" i="64" s="1"/>
  <c r="N15" i="64"/>
  <c r="N23" i="64"/>
  <c r="N31" i="64"/>
  <c r="N39" i="64"/>
  <c r="N47" i="64"/>
  <c r="P48" i="64"/>
  <c r="Q48" i="64" s="1"/>
  <c r="N55" i="64"/>
  <c r="P56" i="64"/>
  <c r="Q56" i="64" s="1"/>
  <c r="E58" i="64"/>
  <c r="Q4" i="64"/>
  <c r="N10" i="64"/>
  <c r="N18" i="64"/>
  <c r="N26" i="64"/>
  <c r="N34" i="64"/>
  <c r="N42" i="64"/>
  <c r="N50" i="64"/>
  <c r="N49" i="64"/>
  <c r="P5" i="64"/>
  <c r="Q5" i="64" s="1"/>
  <c r="H63" i="63"/>
  <c r="H62" i="63"/>
  <c r="L58" i="63"/>
  <c r="K58" i="63"/>
  <c r="J58" i="63"/>
  <c r="J60" i="63" s="1"/>
  <c r="I58" i="63"/>
  <c r="I60" i="63" s="1"/>
  <c r="H58" i="63"/>
  <c r="D58" i="63"/>
  <c r="C58" i="63"/>
  <c r="M56" i="63"/>
  <c r="N56" i="63" s="1"/>
  <c r="F56" i="63"/>
  <c r="E56" i="63"/>
  <c r="M55" i="63"/>
  <c r="P55" i="63" s="1"/>
  <c r="Q55" i="63" s="1"/>
  <c r="F55" i="63"/>
  <c r="E55" i="63"/>
  <c r="M54" i="63"/>
  <c r="N54" i="63" s="1"/>
  <c r="F54" i="63"/>
  <c r="E54" i="63"/>
  <c r="M53" i="63"/>
  <c r="P53" i="63" s="1"/>
  <c r="Q53" i="63" s="1"/>
  <c r="F53" i="63"/>
  <c r="E53" i="63"/>
  <c r="M52" i="63"/>
  <c r="N52" i="63" s="1"/>
  <c r="F52" i="63"/>
  <c r="E52" i="63"/>
  <c r="G52" i="63" s="1"/>
  <c r="M51" i="63"/>
  <c r="P51" i="63" s="1"/>
  <c r="Q51" i="63" s="1"/>
  <c r="F51" i="63"/>
  <c r="E51" i="63"/>
  <c r="M50" i="63"/>
  <c r="N50" i="63" s="1"/>
  <c r="F50" i="63"/>
  <c r="E50" i="63"/>
  <c r="M49" i="63"/>
  <c r="P49" i="63" s="1"/>
  <c r="Q49" i="63" s="1"/>
  <c r="F49" i="63"/>
  <c r="E49" i="63"/>
  <c r="M48" i="63"/>
  <c r="N48" i="63" s="1"/>
  <c r="F48" i="63"/>
  <c r="E48" i="63"/>
  <c r="M47" i="63"/>
  <c r="P47" i="63" s="1"/>
  <c r="Q47" i="63" s="1"/>
  <c r="F47" i="63"/>
  <c r="E47" i="63"/>
  <c r="M46" i="63"/>
  <c r="N46" i="63" s="1"/>
  <c r="F46" i="63"/>
  <c r="E46" i="63"/>
  <c r="P45" i="63"/>
  <c r="Q45" i="63" s="1"/>
  <c r="F45" i="63"/>
  <c r="E45" i="63"/>
  <c r="M44" i="63"/>
  <c r="N44" i="63" s="1"/>
  <c r="F44" i="63"/>
  <c r="E44" i="63"/>
  <c r="M43" i="63"/>
  <c r="N43" i="63" s="1"/>
  <c r="F43" i="63"/>
  <c r="E43" i="63"/>
  <c r="M42" i="63"/>
  <c r="N42" i="63" s="1"/>
  <c r="F42" i="63"/>
  <c r="G42" i="63" s="1"/>
  <c r="E42" i="63"/>
  <c r="P41" i="63"/>
  <c r="Q41" i="63" s="1"/>
  <c r="F41" i="63"/>
  <c r="E41" i="63"/>
  <c r="M40" i="63"/>
  <c r="N40" i="63" s="1"/>
  <c r="F40" i="63"/>
  <c r="E40" i="63"/>
  <c r="G40" i="63" s="1"/>
  <c r="M39" i="63"/>
  <c r="P39" i="63" s="1"/>
  <c r="Q39" i="63" s="1"/>
  <c r="F39" i="63"/>
  <c r="E39" i="63"/>
  <c r="M38" i="63"/>
  <c r="N38" i="63" s="1"/>
  <c r="F38" i="63"/>
  <c r="E38" i="63"/>
  <c r="M37" i="63"/>
  <c r="P37" i="63" s="1"/>
  <c r="Q37" i="63" s="1"/>
  <c r="F37" i="63"/>
  <c r="E37" i="63"/>
  <c r="M36" i="63"/>
  <c r="N36" i="63" s="1"/>
  <c r="F36" i="63"/>
  <c r="E36" i="63"/>
  <c r="M35" i="63"/>
  <c r="N35" i="63" s="1"/>
  <c r="F35" i="63"/>
  <c r="E35" i="63"/>
  <c r="M34" i="63"/>
  <c r="P34" i="63" s="1"/>
  <c r="Q34" i="63" s="1"/>
  <c r="F34" i="63"/>
  <c r="E34" i="63"/>
  <c r="M33" i="63"/>
  <c r="P33" i="63" s="1"/>
  <c r="Q33" i="63" s="1"/>
  <c r="F33" i="63"/>
  <c r="E33" i="63"/>
  <c r="M32" i="63"/>
  <c r="N32" i="63" s="1"/>
  <c r="F32" i="63"/>
  <c r="E32" i="63"/>
  <c r="G32" i="63" s="1"/>
  <c r="M31" i="63"/>
  <c r="P31" i="63" s="1"/>
  <c r="Q31" i="63" s="1"/>
  <c r="F31" i="63"/>
  <c r="E31" i="63"/>
  <c r="M30" i="63"/>
  <c r="N30" i="63" s="1"/>
  <c r="F30" i="63"/>
  <c r="E30" i="63"/>
  <c r="M29" i="63"/>
  <c r="N29" i="63" s="1"/>
  <c r="F29" i="63"/>
  <c r="E29" i="63"/>
  <c r="M28" i="63"/>
  <c r="N28" i="63" s="1"/>
  <c r="F28" i="63"/>
  <c r="E28" i="63"/>
  <c r="G28" i="63" s="1"/>
  <c r="M27" i="63"/>
  <c r="N27" i="63" s="1"/>
  <c r="F27" i="63"/>
  <c r="E27" i="63"/>
  <c r="M26" i="63"/>
  <c r="P26" i="63" s="1"/>
  <c r="Q26" i="63" s="1"/>
  <c r="F26" i="63"/>
  <c r="E26" i="63"/>
  <c r="M25" i="63"/>
  <c r="P25" i="63" s="1"/>
  <c r="Q25" i="63" s="1"/>
  <c r="F25" i="63"/>
  <c r="E25" i="63"/>
  <c r="M24" i="63"/>
  <c r="N24" i="63" s="1"/>
  <c r="F24" i="63"/>
  <c r="E24" i="63"/>
  <c r="G24" i="63" s="1"/>
  <c r="M23" i="63"/>
  <c r="P23" i="63" s="1"/>
  <c r="Q23" i="63" s="1"/>
  <c r="F23" i="63"/>
  <c r="E23" i="63"/>
  <c r="M22" i="63"/>
  <c r="N22" i="63" s="1"/>
  <c r="F22" i="63"/>
  <c r="E22" i="63"/>
  <c r="M21" i="63"/>
  <c r="P21" i="63" s="1"/>
  <c r="Q21" i="63" s="1"/>
  <c r="F21" i="63"/>
  <c r="E21" i="63"/>
  <c r="M20" i="63"/>
  <c r="N20" i="63" s="1"/>
  <c r="F20" i="63"/>
  <c r="E20" i="63"/>
  <c r="M19" i="63"/>
  <c r="N19" i="63" s="1"/>
  <c r="F19" i="63"/>
  <c r="E19" i="63"/>
  <c r="M18" i="63"/>
  <c r="P18" i="63" s="1"/>
  <c r="Q18" i="63" s="1"/>
  <c r="F18" i="63"/>
  <c r="E18" i="63"/>
  <c r="M17" i="63"/>
  <c r="P17" i="63" s="1"/>
  <c r="Q17" i="63" s="1"/>
  <c r="F17" i="63"/>
  <c r="E17" i="63"/>
  <c r="N16" i="63"/>
  <c r="F16" i="63"/>
  <c r="E16" i="63"/>
  <c r="G16" i="63" s="1"/>
  <c r="M15" i="63"/>
  <c r="P15" i="63" s="1"/>
  <c r="Q15" i="63" s="1"/>
  <c r="F15" i="63"/>
  <c r="E15" i="63"/>
  <c r="N14" i="63"/>
  <c r="F14" i="63"/>
  <c r="E14" i="63"/>
  <c r="M13" i="63"/>
  <c r="N13" i="63" s="1"/>
  <c r="F13" i="63"/>
  <c r="E13" i="63"/>
  <c r="M12" i="63"/>
  <c r="N12" i="63" s="1"/>
  <c r="F12" i="63"/>
  <c r="E12" i="63"/>
  <c r="M11" i="63"/>
  <c r="F11" i="63"/>
  <c r="E11" i="63"/>
  <c r="M10" i="63"/>
  <c r="P10" i="63" s="1"/>
  <c r="Q10" i="63" s="1"/>
  <c r="F10" i="63"/>
  <c r="E10" i="63"/>
  <c r="M9" i="63"/>
  <c r="P9" i="63" s="1"/>
  <c r="Q9" i="63" s="1"/>
  <c r="F9" i="63"/>
  <c r="E9" i="63"/>
  <c r="M8" i="63"/>
  <c r="N8" i="63" s="1"/>
  <c r="F8" i="63"/>
  <c r="E8" i="63"/>
  <c r="M7" i="63"/>
  <c r="P7" i="63" s="1"/>
  <c r="Q7" i="63" s="1"/>
  <c r="F7" i="63"/>
  <c r="E7" i="63"/>
  <c r="G7" i="63" s="1"/>
  <c r="M6" i="63"/>
  <c r="N6" i="63" s="1"/>
  <c r="F6" i="63"/>
  <c r="E6" i="63"/>
  <c r="M5" i="63"/>
  <c r="P5" i="63" s="1"/>
  <c r="Q5" i="63" s="1"/>
  <c r="F5" i="63"/>
  <c r="G5" i="63" s="1"/>
  <c r="E5" i="63"/>
  <c r="P4" i="63"/>
  <c r="N4" i="63"/>
  <c r="M45" i="62"/>
  <c r="N45" i="62" s="1"/>
  <c r="M16" i="62"/>
  <c r="N16" i="62" s="1"/>
  <c r="M14" i="62"/>
  <c r="P14" i="62" s="1"/>
  <c r="Q14" i="62" s="1"/>
  <c r="M44" i="62"/>
  <c r="P44" i="62" s="1"/>
  <c r="Q44" i="62" s="1"/>
  <c r="N4" i="62"/>
  <c r="P4" i="62"/>
  <c r="Q4" i="62" s="1"/>
  <c r="H64" i="62"/>
  <c r="H63" i="62"/>
  <c r="L59" i="62"/>
  <c r="K59" i="62"/>
  <c r="J59" i="62"/>
  <c r="J61" i="62" s="1"/>
  <c r="I59" i="62"/>
  <c r="I61" i="62" s="1"/>
  <c r="H59" i="62"/>
  <c r="D59" i="62"/>
  <c r="C59" i="62"/>
  <c r="P57" i="62"/>
  <c r="Q57" i="62" s="1"/>
  <c r="F57" i="62"/>
  <c r="E57" i="62"/>
  <c r="M56" i="62"/>
  <c r="N56" i="62" s="1"/>
  <c r="F56" i="62"/>
  <c r="E56" i="62"/>
  <c r="M55" i="62"/>
  <c r="P55" i="62" s="1"/>
  <c r="Q55" i="62" s="1"/>
  <c r="F55" i="62"/>
  <c r="E55" i="62"/>
  <c r="M54" i="62"/>
  <c r="P54" i="62" s="1"/>
  <c r="Q54" i="62" s="1"/>
  <c r="F54" i="62"/>
  <c r="E54" i="62"/>
  <c r="M53" i="62"/>
  <c r="N53" i="62" s="1"/>
  <c r="F53" i="62"/>
  <c r="E53" i="62"/>
  <c r="M52" i="62"/>
  <c r="P52" i="62" s="1"/>
  <c r="Q52" i="62" s="1"/>
  <c r="F52" i="62"/>
  <c r="E52" i="62"/>
  <c r="M51" i="62"/>
  <c r="P51" i="62" s="1"/>
  <c r="Q51" i="62" s="1"/>
  <c r="F51" i="62"/>
  <c r="E51" i="62"/>
  <c r="M50" i="62"/>
  <c r="N50" i="62" s="1"/>
  <c r="F50" i="62"/>
  <c r="E50" i="62"/>
  <c r="M49" i="62"/>
  <c r="P49" i="62" s="1"/>
  <c r="Q49" i="62" s="1"/>
  <c r="F49" i="62"/>
  <c r="E49" i="62"/>
  <c r="M48" i="62"/>
  <c r="N48" i="62" s="1"/>
  <c r="F48" i="62"/>
  <c r="E48" i="62"/>
  <c r="M47" i="62"/>
  <c r="N47" i="62" s="1"/>
  <c r="F47" i="62"/>
  <c r="E47" i="62"/>
  <c r="M46" i="62"/>
  <c r="P46" i="62" s="1"/>
  <c r="Q46" i="62" s="1"/>
  <c r="F46" i="62"/>
  <c r="E46" i="62"/>
  <c r="F45" i="62"/>
  <c r="E45" i="62"/>
  <c r="F44" i="62"/>
  <c r="E44" i="62"/>
  <c r="M43" i="62"/>
  <c r="P43" i="62" s="1"/>
  <c r="Q43" i="62" s="1"/>
  <c r="F43" i="62"/>
  <c r="E43" i="62"/>
  <c r="M42" i="62"/>
  <c r="N42" i="62" s="1"/>
  <c r="F42" i="62"/>
  <c r="E42" i="62"/>
  <c r="M41" i="62"/>
  <c r="P41" i="62" s="1"/>
  <c r="Q41" i="62" s="1"/>
  <c r="F41" i="62"/>
  <c r="E41" i="62"/>
  <c r="M40" i="62"/>
  <c r="N40" i="62" s="1"/>
  <c r="F40" i="62"/>
  <c r="E40" i="62"/>
  <c r="M39" i="62"/>
  <c r="N39" i="62" s="1"/>
  <c r="F39" i="62"/>
  <c r="E39" i="62"/>
  <c r="M38" i="62"/>
  <c r="P38" i="62" s="1"/>
  <c r="Q38" i="62" s="1"/>
  <c r="F38" i="62"/>
  <c r="E38" i="62"/>
  <c r="M37" i="62"/>
  <c r="N37" i="62" s="1"/>
  <c r="F37" i="62"/>
  <c r="E37" i="62"/>
  <c r="M36" i="62"/>
  <c r="P36" i="62" s="1"/>
  <c r="Q36" i="62" s="1"/>
  <c r="F36" i="62"/>
  <c r="E36" i="62"/>
  <c r="M35" i="62"/>
  <c r="P35" i="62" s="1"/>
  <c r="Q35" i="62" s="1"/>
  <c r="F35" i="62"/>
  <c r="E35" i="62"/>
  <c r="M34" i="62"/>
  <c r="N34" i="62" s="1"/>
  <c r="F34" i="62"/>
  <c r="E34" i="62"/>
  <c r="M33" i="62"/>
  <c r="P33" i="62" s="1"/>
  <c r="Q33" i="62" s="1"/>
  <c r="F33" i="62"/>
  <c r="E33" i="62"/>
  <c r="M32" i="62"/>
  <c r="N32" i="62" s="1"/>
  <c r="F32" i="62"/>
  <c r="E32" i="62"/>
  <c r="M31" i="62"/>
  <c r="N31" i="62" s="1"/>
  <c r="F31" i="62"/>
  <c r="E31" i="62"/>
  <c r="M30" i="62"/>
  <c r="P30" i="62" s="1"/>
  <c r="Q30" i="62" s="1"/>
  <c r="F30" i="62"/>
  <c r="E30" i="62"/>
  <c r="M29" i="62"/>
  <c r="N29" i="62" s="1"/>
  <c r="F29" i="62"/>
  <c r="E29" i="62"/>
  <c r="M28" i="62"/>
  <c r="P28" i="62" s="1"/>
  <c r="Q28" i="62" s="1"/>
  <c r="F28" i="62"/>
  <c r="E28" i="62"/>
  <c r="M27" i="62"/>
  <c r="P27" i="62" s="1"/>
  <c r="Q27" i="62" s="1"/>
  <c r="F27" i="62"/>
  <c r="E27" i="62"/>
  <c r="M26" i="62"/>
  <c r="N26" i="62" s="1"/>
  <c r="F26" i="62"/>
  <c r="E26" i="62"/>
  <c r="M25" i="62"/>
  <c r="P25" i="62" s="1"/>
  <c r="Q25" i="62" s="1"/>
  <c r="F25" i="62"/>
  <c r="E25" i="62"/>
  <c r="M24" i="62"/>
  <c r="N24" i="62" s="1"/>
  <c r="F24" i="62"/>
  <c r="E24" i="62"/>
  <c r="M23" i="62"/>
  <c r="N23" i="62" s="1"/>
  <c r="F23" i="62"/>
  <c r="E23" i="62"/>
  <c r="M22" i="62"/>
  <c r="P22" i="62" s="1"/>
  <c r="Q22" i="62" s="1"/>
  <c r="F22" i="62"/>
  <c r="E22" i="62"/>
  <c r="M21" i="62"/>
  <c r="N21" i="62" s="1"/>
  <c r="F21" i="62"/>
  <c r="E21" i="62"/>
  <c r="M20" i="62"/>
  <c r="P20" i="62" s="1"/>
  <c r="Q20" i="62" s="1"/>
  <c r="F20" i="62"/>
  <c r="E20" i="62"/>
  <c r="M19" i="62"/>
  <c r="N19" i="62" s="1"/>
  <c r="F19" i="62"/>
  <c r="E19" i="62"/>
  <c r="M18" i="62"/>
  <c r="N18" i="62" s="1"/>
  <c r="F18" i="62"/>
  <c r="E18" i="62"/>
  <c r="M17" i="62"/>
  <c r="P17" i="62" s="1"/>
  <c r="Q17" i="62" s="1"/>
  <c r="F17" i="62"/>
  <c r="E17" i="62"/>
  <c r="F16" i="62"/>
  <c r="E16" i="62"/>
  <c r="M15" i="62"/>
  <c r="N15" i="62" s="1"/>
  <c r="F15" i="62"/>
  <c r="E15" i="62"/>
  <c r="F14" i="62"/>
  <c r="E14" i="62"/>
  <c r="M13" i="62"/>
  <c r="N13" i="62" s="1"/>
  <c r="F13" i="62"/>
  <c r="E13" i="62"/>
  <c r="M12" i="62"/>
  <c r="P12" i="62" s="1"/>
  <c r="Q12" i="62" s="1"/>
  <c r="F12" i="62"/>
  <c r="E12" i="62"/>
  <c r="M11" i="62"/>
  <c r="P11" i="62" s="1"/>
  <c r="Q11" i="62" s="1"/>
  <c r="F11" i="62"/>
  <c r="E11" i="62"/>
  <c r="M10" i="62"/>
  <c r="F10" i="62"/>
  <c r="E10" i="62"/>
  <c r="M9" i="62"/>
  <c r="P9" i="62" s="1"/>
  <c r="Q9" i="62" s="1"/>
  <c r="F9" i="62"/>
  <c r="E9" i="62"/>
  <c r="M8" i="62"/>
  <c r="N8" i="62" s="1"/>
  <c r="F8" i="62"/>
  <c r="E8" i="62"/>
  <c r="M7" i="62"/>
  <c r="N7" i="62" s="1"/>
  <c r="F7" i="62"/>
  <c r="E7" i="62"/>
  <c r="M6" i="62"/>
  <c r="P6" i="62" s="1"/>
  <c r="Q6" i="62" s="1"/>
  <c r="F6" i="62"/>
  <c r="E6" i="62"/>
  <c r="M5" i="62"/>
  <c r="N5" i="62" s="1"/>
  <c r="F5" i="62"/>
  <c r="E5" i="62"/>
  <c r="M44" i="61"/>
  <c r="H59" i="61"/>
  <c r="M45" i="61"/>
  <c r="M14" i="61"/>
  <c r="G27" i="63" l="1"/>
  <c r="G13" i="63"/>
  <c r="G25" i="63"/>
  <c r="G29" i="63"/>
  <c r="G33" i="63"/>
  <c r="G37" i="63"/>
  <c r="G45" i="63"/>
  <c r="G49" i="63"/>
  <c r="G53" i="63"/>
  <c r="G12" i="62"/>
  <c r="G10" i="62"/>
  <c r="G11" i="63"/>
  <c r="G58" i="64"/>
  <c r="G28" i="62"/>
  <c r="G19" i="63"/>
  <c r="G23" i="63"/>
  <c r="G31" i="63"/>
  <c r="G35" i="63"/>
  <c r="G36" i="63"/>
  <c r="G43" i="63"/>
  <c r="G47" i="63"/>
  <c r="G51" i="63"/>
  <c r="G55" i="63"/>
  <c r="G21" i="63"/>
  <c r="E58" i="63"/>
  <c r="G14" i="63"/>
  <c r="G22" i="63"/>
  <c r="G30" i="63"/>
  <c r="G38" i="63"/>
  <c r="G54" i="63"/>
  <c r="H64" i="63"/>
  <c r="R57" i="65"/>
  <c r="Q58" i="64"/>
  <c r="N58" i="64"/>
  <c r="P58" i="64"/>
  <c r="N55" i="63"/>
  <c r="P24" i="63"/>
  <c r="Q24" i="63" s="1"/>
  <c r="P22" i="63"/>
  <c r="Q22" i="63" s="1"/>
  <c r="N31" i="63"/>
  <c r="P29" i="63"/>
  <c r="Q29" i="63" s="1"/>
  <c r="N45" i="63"/>
  <c r="N21" i="63"/>
  <c r="F58" i="63"/>
  <c r="N5" i="63"/>
  <c r="P13" i="63"/>
  <c r="Q13" i="63" s="1"/>
  <c r="G26" i="63"/>
  <c r="P46" i="63"/>
  <c r="Q46" i="63" s="1"/>
  <c r="G12" i="63"/>
  <c r="G18" i="63"/>
  <c r="P38" i="63"/>
  <c r="Q38" i="63" s="1"/>
  <c r="P40" i="63"/>
  <c r="Q40" i="63" s="1"/>
  <c r="G6" i="63"/>
  <c r="G8" i="63"/>
  <c r="G10" i="63"/>
  <c r="P30" i="63"/>
  <c r="Q30" i="63" s="1"/>
  <c r="P32" i="63"/>
  <c r="Q32" i="63" s="1"/>
  <c r="G39" i="63"/>
  <c r="G41" i="63"/>
  <c r="N53" i="63"/>
  <c r="M58" i="63"/>
  <c r="H61" i="63" s="1"/>
  <c r="N23" i="63"/>
  <c r="N15" i="63"/>
  <c r="N7" i="63"/>
  <c r="P14" i="63"/>
  <c r="Q14" i="63" s="1"/>
  <c r="P16" i="63"/>
  <c r="Q16" i="63" s="1"/>
  <c r="N37" i="63"/>
  <c r="N47" i="63"/>
  <c r="G56" i="63"/>
  <c r="P48" i="63"/>
  <c r="Q48" i="63" s="1"/>
  <c r="P6" i="63"/>
  <c r="Q6" i="63" s="1"/>
  <c r="P8" i="63"/>
  <c r="Q8" i="63" s="1"/>
  <c r="G15" i="63"/>
  <c r="G17" i="63"/>
  <c r="N39" i="63"/>
  <c r="G44" i="63"/>
  <c r="G46" i="63"/>
  <c r="G48" i="63"/>
  <c r="G50" i="63"/>
  <c r="G34" i="63"/>
  <c r="P54" i="63"/>
  <c r="Q54" i="63" s="1"/>
  <c r="P56" i="63"/>
  <c r="Q56" i="63" s="1"/>
  <c r="G20" i="63"/>
  <c r="Q4" i="63"/>
  <c r="N10" i="63"/>
  <c r="P11" i="63"/>
  <c r="Q11" i="63" s="1"/>
  <c r="P19" i="63"/>
  <c r="Q19" i="63" s="1"/>
  <c r="N26" i="63"/>
  <c r="P27" i="63"/>
  <c r="Q27" i="63" s="1"/>
  <c r="N34" i="63"/>
  <c r="P43" i="63"/>
  <c r="Q43" i="63" s="1"/>
  <c r="N17" i="63"/>
  <c r="N25" i="63"/>
  <c r="N33" i="63"/>
  <c r="N41" i="63"/>
  <c r="P42" i="63"/>
  <c r="Q42" i="63" s="1"/>
  <c r="N49" i="63"/>
  <c r="P50" i="63"/>
  <c r="Q50" i="63" s="1"/>
  <c r="G9" i="63"/>
  <c r="N11" i="63"/>
  <c r="P20" i="63"/>
  <c r="Q20" i="63" s="1"/>
  <c r="P36" i="63"/>
  <c r="Q36" i="63" s="1"/>
  <c r="P44" i="63"/>
  <c r="Q44" i="63" s="1"/>
  <c r="N51" i="63"/>
  <c r="P52" i="63"/>
  <c r="Q52" i="63" s="1"/>
  <c r="N18" i="63"/>
  <c r="P35" i="63"/>
  <c r="Q35" i="63" s="1"/>
  <c r="N9" i="63"/>
  <c r="P12" i="63"/>
  <c r="Q12" i="63" s="1"/>
  <c r="P28" i="63"/>
  <c r="Q28" i="63" s="1"/>
  <c r="G5" i="62"/>
  <c r="G13" i="62"/>
  <c r="G17" i="62"/>
  <c r="G21" i="62"/>
  <c r="G29" i="62"/>
  <c r="G37" i="62"/>
  <c r="G41" i="62"/>
  <c r="G49" i="62"/>
  <c r="G53" i="62"/>
  <c r="G57" i="62"/>
  <c r="G50" i="62"/>
  <c r="G20" i="62"/>
  <c r="G36" i="62"/>
  <c r="H65" i="62"/>
  <c r="N52" i="62"/>
  <c r="P45" i="62"/>
  <c r="Q45" i="62" s="1"/>
  <c r="N44" i="62"/>
  <c r="N36" i="62"/>
  <c r="P24" i="62"/>
  <c r="Q24" i="62" s="1"/>
  <c r="P21" i="62"/>
  <c r="Q21" i="62" s="1"/>
  <c r="G18" i="62"/>
  <c r="G11" i="62"/>
  <c r="G19" i="62"/>
  <c r="G45" i="62"/>
  <c r="G26" i="62"/>
  <c r="N20" i="62"/>
  <c r="G44" i="62"/>
  <c r="G7" i="62"/>
  <c r="G9" i="62"/>
  <c r="P13" i="62"/>
  <c r="Q13" i="62" s="1"/>
  <c r="G23" i="62"/>
  <c r="G25" i="62"/>
  <c r="P29" i="62"/>
  <c r="Q29" i="62" s="1"/>
  <c r="G42" i="62"/>
  <c r="P8" i="62"/>
  <c r="Q8" i="62" s="1"/>
  <c r="P16" i="62"/>
  <c r="Q16" i="62" s="1"/>
  <c r="N12" i="62"/>
  <c r="N28" i="62"/>
  <c r="G33" i="62"/>
  <c r="P37" i="62"/>
  <c r="Q37" i="62" s="1"/>
  <c r="G52" i="62"/>
  <c r="P5" i="62"/>
  <c r="Q5" i="62" s="1"/>
  <c r="F59" i="62"/>
  <c r="G15" i="62"/>
  <c r="G27" i="62"/>
  <c r="G34" i="62"/>
  <c r="P23" i="62"/>
  <c r="Q23" i="62" s="1"/>
  <c r="P31" i="62"/>
  <c r="Q31" i="62" s="1"/>
  <c r="P47" i="62"/>
  <c r="Q47" i="62" s="1"/>
  <c r="G6" i="62"/>
  <c r="G8" i="62"/>
  <c r="G14" i="62"/>
  <c r="G16" i="62"/>
  <c r="G22" i="62"/>
  <c r="G24" i="62"/>
  <c r="G30" i="62"/>
  <c r="G32" i="62"/>
  <c r="G38" i="62"/>
  <c r="G40" i="62"/>
  <c r="G46" i="62"/>
  <c r="G48" i="62"/>
  <c r="G54" i="62"/>
  <c r="G56" i="62"/>
  <c r="M59" i="62"/>
  <c r="H62" i="62" s="1"/>
  <c r="P7" i="62"/>
  <c r="Q7" i="62" s="1"/>
  <c r="P15" i="62"/>
  <c r="Q15" i="62" s="1"/>
  <c r="P39" i="62"/>
  <c r="Q39" i="62" s="1"/>
  <c r="G31" i="62"/>
  <c r="P32" i="62"/>
  <c r="Q32" i="62" s="1"/>
  <c r="G35" i="62"/>
  <c r="G39" i="62"/>
  <c r="P40" i="62"/>
  <c r="Q40" i="62" s="1"/>
  <c r="G43" i="62"/>
  <c r="G47" i="62"/>
  <c r="P48" i="62"/>
  <c r="Q48" i="62" s="1"/>
  <c r="G51" i="62"/>
  <c r="G55" i="62"/>
  <c r="P56" i="62"/>
  <c r="Q56" i="62" s="1"/>
  <c r="N55" i="62"/>
  <c r="P53" i="62"/>
  <c r="Q53" i="62" s="1"/>
  <c r="E59" i="62"/>
  <c r="N11" i="62"/>
  <c r="N27" i="62"/>
  <c r="N35" i="62"/>
  <c r="N43" i="62"/>
  <c r="N51" i="62"/>
  <c r="N9" i="62"/>
  <c r="P10" i="62"/>
  <c r="Q10" i="62" s="1"/>
  <c r="N17" i="62"/>
  <c r="P18" i="62"/>
  <c r="Q18" i="62" s="1"/>
  <c r="N25" i="62"/>
  <c r="P26" i="62"/>
  <c r="Q26" i="62" s="1"/>
  <c r="N33" i="62"/>
  <c r="P34" i="62"/>
  <c r="Q34" i="62" s="1"/>
  <c r="N41" i="62"/>
  <c r="P42" i="62"/>
  <c r="Q42" i="62" s="1"/>
  <c r="N49" i="62"/>
  <c r="P50" i="62"/>
  <c r="Q50" i="62" s="1"/>
  <c r="N57" i="62"/>
  <c r="N10" i="62"/>
  <c r="P19" i="62"/>
  <c r="Q19" i="62" s="1"/>
  <c r="N6" i="62"/>
  <c r="N14" i="62"/>
  <c r="N22" i="62"/>
  <c r="N30" i="62"/>
  <c r="N38" i="62"/>
  <c r="N46" i="62"/>
  <c r="N54" i="62"/>
  <c r="M57" i="61"/>
  <c r="P57" i="61" s="1"/>
  <c r="Q57" i="61" s="1"/>
  <c r="P45" i="61"/>
  <c r="Q45" i="61" s="1"/>
  <c r="M16" i="61"/>
  <c r="P16" i="61" s="1"/>
  <c r="Q16" i="61" s="1"/>
  <c r="N14" i="61"/>
  <c r="M56" i="61"/>
  <c r="P56" i="61" s="1"/>
  <c r="Q56" i="61" s="1"/>
  <c r="F56" i="61"/>
  <c r="E56" i="61"/>
  <c r="H64" i="61"/>
  <c r="H63" i="61"/>
  <c r="L59" i="61"/>
  <c r="K59" i="61"/>
  <c r="J59" i="61"/>
  <c r="J61" i="61" s="1"/>
  <c r="I59" i="61"/>
  <c r="I61" i="61" s="1"/>
  <c r="D59" i="61"/>
  <c r="C59" i="61"/>
  <c r="F57" i="61"/>
  <c r="E57" i="61"/>
  <c r="M55" i="61"/>
  <c r="P55" i="61" s="1"/>
  <c r="Q55" i="61" s="1"/>
  <c r="F55" i="61"/>
  <c r="E55" i="61"/>
  <c r="M54" i="61"/>
  <c r="N54" i="61" s="1"/>
  <c r="F54" i="61"/>
  <c r="E54" i="61"/>
  <c r="M53" i="61"/>
  <c r="P53" i="61" s="1"/>
  <c r="Q53" i="61" s="1"/>
  <c r="F53" i="61"/>
  <c r="E53" i="61"/>
  <c r="M52" i="61"/>
  <c r="N52" i="61" s="1"/>
  <c r="F52" i="61"/>
  <c r="E52" i="61"/>
  <c r="M51" i="61"/>
  <c r="P51" i="61" s="1"/>
  <c r="Q51" i="61" s="1"/>
  <c r="F51" i="61"/>
  <c r="E51" i="61"/>
  <c r="M50" i="61"/>
  <c r="N50" i="61" s="1"/>
  <c r="F50" i="61"/>
  <c r="E50" i="61"/>
  <c r="G50" i="61" s="1"/>
  <c r="M49" i="61"/>
  <c r="P49" i="61" s="1"/>
  <c r="Q49" i="61" s="1"/>
  <c r="F49" i="61"/>
  <c r="E49" i="61"/>
  <c r="M48" i="61"/>
  <c r="P48" i="61" s="1"/>
  <c r="Q48" i="61" s="1"/>
  <c r="F48" i="61"/>
  <c r="E48" i="61"/>
  <c r="M47" i="61"/>
  <c r="P47" i="61" s="1"/>
  <c r="Q47" i="61" s="1"/>
  <c r="F47" i="61"/>
  <c r="E47" i="61"/>
  <c r="M46" i="61"/>
  <c r="N46" i="61" s="1"/>
  <c r="F46" i="61"/>
  <c r="E46" i="61"/>
  <c r="G46" i="61" s="1"/>
  <c r="F45" i="61"/>
  <c r="E45" i="61"/>
  <c r="N44" i="61"/>
  <c r="F44" i="61"/>
  <c r="E44" i="61"/>
  <c r="M43" i="61"/>
  <c r="P43" i="61" s="1"/>
  <c r="Q43" i="61" s="1"/>
  <c r="F43" i="61"/>
  <c r="E43" i="61"/>
  <c r="G43" i="61" s="1"/>
  <c r="M42" i="61"/>
  <c r="N42" i="61" s="1"/>
  <c r="F42" i="61"/>
  <c r="E42" i="61"/>
  <c r="M41" i="61"/>
  <c r="P41" i="61" s="1"/>
  <c r="Q41" i="61" s="1"/>
  <c r="F41" i="61"/>
  <c r="E41" i="61"/>
  <c r="M40" i="61"/>
  <c r="N40" i="61" s="1"/>
  <c r="F40" i="61"/>
  <c r="E40" i="61"/>
  <c r="M39" i="61"/>
  <c r="P39" i="61" s="1"/>
  <c r="Q39" i="61" s="1"/>
  <c r="F39" i="61"/>
  <c r="E39" i="61"/>
  <c r="M38" i="61"/>
  <c r="N38" i="61" s="1"/>
  <c r="F38" i="61"/>
  <c r="E38" i="61"/>
  <c r="M37" i="61"/>
  <c r="P37" i="61" s="1"/>
  <c r="Q37" i="61" s="1"/>
  <c r="F37" i="61"/>
  <c r="E37" i="61"/>
  <c r="M36" i="61"/>
  <c r="N36" i="61" s="1"/>
  <c r="F36" i="61"/>
  <c r="E36" i="61"/>
  <c r="M35" i="61"/>
  <c r="P35" i="61" s="1"/>
  <c r="Q35" i="61" s="1"/>
  <c r="F35" i="61"/>
  <c r="E35" i="61"/>
  <c r="G35" i="61" s="1"/>
  <c r="M34" i="61"/>
  <c r="N34" i="61" s="1"/>
  <c r="F34" i="61"/>
  <c r="E34" i="61"/>
  <c r="M33" i="61"/>
  <c r="P33" i="61" s="1"/>
  <c r="Q33" i="61" s="1"/>
  <c r="F33" i="61"/>
  <c r="E33" i="61"/>
  <c r="M32" i="61"/>
  <c r="N32" i="61" s="1"/>
  <c r="F32" i="61"/>
  <c r="E32" i="61"/>
  <c r="M31" i="61"/>
  <c r="P31" i="61" s="1"/>
  <c r="Q31" i="61" s="1"/>
  <c r="F31" i="61"/>
  <c r="E31" i="61"/>
  <c r="M30" i="61"/>
  <c r="N30" i="61" s="1"/>
  <c r="F30" i="61"/>
  <c r="E30" i="61"/>
  <c r="G30" i="61" s="1"/>
  <c r="M29" i="61"/>
  <c r="P29" i="61" s="1"/>
  <c r="Q29" i="61" s="1"/>
  <c r="F29" i="61"/>
  <c r="E29" i="61"/>
  <c r="M28" i="61"/>
  <c r="N28" i="61" s="1"/>
  <c r="F28" i="61"/>
  <c r="E28" i="61"/>
  <c r="M27" i="61"/>
  <c r="P27" i="61" s="1"/>
  <c r="Q27" i="61" s="1"/>
  <c r="F27" i="61"/>
  <c r="E27" i="61"/>
  <c r="G27" i="61" s="1"/>
  <c r="M26" i="61"/>
  <c r="N26" i="61" s="1"/>
  <c r="F26" i="61"/>
  <c r="E26" i="61"/>
  <c r="M25" i="61"/>
  <c r="N25" i="61" s="1"/>
  <c r="F25" i="61"/>
  <c r="E25" i="61"/>
  <c r="M24" i="61"/>
  <c r="P24" i="61" s="1"/>
  <c r="Q24" i="61" s="1"/>
  <c r="F24" i="61"/>
  <c r="E24" i="61"/>
  <c r="M23" i="61"/>
  <c r="P23" i="61" s="1"/>
  <c r="Q23" i="61" s="1"/>
  <c r="F23" i="61"/>
  <c r="E23" i="61"/>
  <c r="M22" i="61"/>
  <c r="N22" i="61" s="1"/>
  <c r="F22" i="61"/>
  <c r="E22" i="61"/>
  <c r="M21" i="61"/>
  <c r="P21" i="61" s="1"/>
  <c r="Q21" i="61" s="1"/>
  <c r="F21" i="61"/>
  <c r="E21" i="61"/>
  <c r="M20" i="61"/>
  <c r="N20" i="61" s="1"/>
  <c r="F20" i="61"/>
  <c r="E20" i="61"/>
  <c r="M19" i="61"/>
  <c r="P19" i="61" s="1"/>
  <c r="Q19" i="61" s="1"/>
  <c r="F19" i="61"/>
  <c r="E19" i="61"/>
  <c r="G19" i="61" s="1"/>
  <c r="M18" i="61"/>
  <c r="N18" i="61" s="1"/>
  <c r="F18" i="61"/>
  <c r="E18" i="61"/>
  <c r="M17" i="61"/>
  <c r="P17" i="61" s="1"/>
  <c r="Q17" i="61" s="1"/>
  <c r="F17" i="61"/>
  <c r="E17" i="61"/>
  <c r="F16" i="61"/>
  <c r="E16" i="61"/>
  <c r="M15" i="61"/>
  <c r="P15" i="61" s="1"/>
  <c r="Q15" i="61" s="1"/>
  <c r="F15" i="61"/>
  <c r="E15" i="61"/>
  <c r="F14" i="61"/>
  <c r="E14" i="61"/>
  <c r="M13" i="61"/>
  <c r="P13" i="61" s="1"/>
  <c r="Q13" i="61" s="1"/>
  <c r="F13" i="61"/>
  <c r="E13" i="61"/>
  <c r="M12" i="61"/>
  <c r="N12" i="61" s="1"/>
  <c r="F12" i="61"/>
  <c r="E12" i="61"/>
  <c r="M11" i="61"/>
  <c r="P11" i="61" s="1"/>
  <c r="Q11" i="61" s="1"/>
  <c r="F11" i="61"/>
  <c r="E11" i="61"/>
  <c r="M10" i="61"/>
  <c r="N10" i="61" s="1"/>
  <c r="F10" i="61"/>
  <c r="E10" i="61"/>
  <c r="M9" i="61"/>
  <c r="F9" i="61"/>
  <c r="E9" i="61"/>
  <c r="M8" i="61"/>
  <c r="P8" i="61" s="1"/>
  <c r="Q8" i="61" s="1"/>
  <c r="F8" i="61"/>
  <c r="E8" i="61"/>
  <c r="M7" i="61"/>
  <c r="P7" i="61" s="1"/>
  <c r="Q7" i="61" s="1"/>
  <c r="F7" i="61"/>
  <c r="E7" i="61"/>
  <c r="M6" i="61"/>
  <c r="N6" i="61" s="1"/>
  <c r="F6" i="61"/>
  <c r="E6" i="61"/>
  <c r="M5" i="61"/>
  <c r="P5" i="61" s="1"/>
  <c r="Q5" i="61" s="1"/>
  <c r="F5" i="61"/>
  <c r="E5" i="61"/>
  <c r="N4" i="61"/>
  <c r="F4" i="61"/>
  <c r="E4" i="61"/>
  <c r="M45" i="60"/>
  <c r="M16" i="60"/>
  <c r="M14" i="60"/>
  <c r="G42" i="61" l="1"/>
  <c r="G49" i="61"/>
  <c r="G41" i="61"/>
  <c r="G16" i="61"/>
  <c r="G11" i="61"/>
  <c r="G17" i="61"/>
  <c r="G32" i="61"/>
  <c r="G40" i="61"/>
  <c r="G6" i="61"/>
  <c r="G14" i="61"/>
  <c r="G21" i="61"/>
  <c r="G25" i="61"/>
  <c r="G9" i="61"/>
  <c r="G13" i="61"/>
  <c r="G33" i="61"/>
  <c r="G45" i="61"/>
  <c r="G52" i="61"/>
  <c r="H65" i="61"/>
  <c r="G58" i="63"/>
  <c r="G56" i="61"/>
  <c r="G4" i="61"/>
  <c r="G12" i="61"/>
  <c r="G18" i="61"/>
  <c r="G23" i="61"/>
  <c r="G28" i="61"/>
  <c r="G44" i="61"/>
  <c r="G47" i="61"/>
  <c r="G51" i="61"/>
  <c r="M59" i="61"/>
  <c r="H62" i="61" s="1"/>
  <c r="R58" i="64"/>
  <c r="N58" i="63"/>
  <c r="Q58" i="63"/>
  <c r="P58" i="63"/>
  <c r="G59" i="62"/>
  <c r="P59" i="62"/>
  <c r="N59" i="62"/>
  <c r="Q59" i="62"/>
  <c r="N35" i="61"/>
  <c r="N19" i="61"/>
  <c r="P38" i="61"/>
  <c r="Q38" i="61" s="1"/>
  <c r="P12" i="61"/>
  <c r="Q12" i="61" s="1"/>
  <c r="N5" i="61"/>
  <c r="N21" i="61"/>
  <c r="P36" i="61"/>
  <c r="Q36" i="61" s="1"/>
  <c r="P54" i="61"/>
  <c r="Q54" i="61" s="1"/>
  <c r="P14" i="61"/>
  <c r="Q14" i="61" s="1"/>
  <c r="P52" i="61"/>
  <c r="Q52" i="61" s="1"/>
  <c r="N43" i="61"/>
  <c r="N11" i="61"/>
  <c r="F59" i="61"/>
  <c r="N56" i="61"/>
  <c r="G10" i="61"/>
  <c r="N13" i="61"/>
  <c r="G20" i="61"/>
  <c r="G22" i="61"/>
  <c r="G24" i="61"/>
  <c r="P44" i="61"/>
  <c r="Q44" i="61" s="1"/>
  <c r="P46" i="61"/>
  <c r="Q46" i="61" s="1"/>
  <c r="G53" i="61"/>
  <c r="G55" i="61"/>
  <c r="G8" i="61"/>
  <c r="P28" i="61"/>
  <c r="Q28" i="61" s="1"/>
  <c r="P30" i="61"/>
  <c r="Q30" i="61" s="1"/>
  <c r="G37" i="61"/>
  <c r="G39" i="61"/>
  <c r="N51" i="61"/>
  <c r="P20" i="61"/>
  <c r="Q20" i="61" s="1"/>
  <c r="P22" i="61"/>
  <c r="Q22" i="61" s="1"/>
  <c r="G29" i="61"/>
  <c r="G31" i="61"/>
  <c r="N53" i="61"/>
  <c r="N45" i="61"/>
  <c r="G54" i="61"/>
  <c r="G57" i="61"/>
  <c r="P4" i="61"/>
  <c r="Q4" i="61" s="1"/>
  <c r="P6" i="61"/>
  <c r="Q6" i="61" s="1"/>
  <c r="G15" i="61"/>
  <c r="N27" i="61"/>
  <c r="G34" i="61"/>
  <c r="N37" i="61"/>
  <c r="G48" i="61"/>
  <c r="G5" i="61"/>
  <c r="E59" i="61"/>
  <c r="G26" i="61"/>
  <c r="N29" i="61"/>
  <c r="G36" i="61"/>
  <c r="G38" i="61"/>
  <c r="P10" i="61"/>
  <c r="Q10" i="61" s="1"/>
  <c r="N17" i="61"/>
  <c r="P26" i="61"/>
  <c r="Q26" i="61" s="1"/>
  <c r="N33" i="61"/>
  <c r="P34" i="61"/>
  <c r="Q34" i="61" s="1"/>
  <c r="N41" i="61"/>
  <c r="N49" i="61"/>
  <c r="P50" i="61"/>
  <c r="Q50" i="61" s="1"/>
  <c r="N8" i="61"/>
  <c r="N24" i="61"/>
  <c r="N48" i="61"/>
  <c r="N57" i="61"/>
  <c r="N15" i="61"/>
  <c r="N23" i="61"/>
  <c r="N31" i="61"/>
  <c r="P32" i="61"/>
  <c r="Q32" i="61" s="1"/>
  <c r="N39" i="61"/>
  <c r="P40" i="61"/>
  <c r="Q40" i="61" s="1"/>
  <c r="N47" i="61"/>
  <c r="N55" i="61"/>
  <c r="P9" i="61"/>
  <c r="Q9" i="61" s="1"/>
  <c r="N16" i="61"/>
  <c r="P25" i="61"/>
  <c r="Q25" i="61" s="1"/>
  <c r="N7" i="61"/>
  <c r="G7" i="61"/>
  <c r="N9" i="61"/>
  <c r="P18" i="61"/>
  <c r="Q18" i="61" s="1"/>
  <c r="P42" i="61"/>
  <c r="Q42" i="61" s="1"/>
  <c r="F10" i="60"/>
  <c r="H63" i="60"/>
  <c r="H62" i="60"/>
  <c r="H64" i="60" s="1"/>
  <c r="L58" i="60"/>
  <c r="K58" i="60"/>
  <c r="J58" i="60"/>
  <c r="J60" i="60" s="1"/>
  <c r="I58" i="60"/>
  <c r="I60" i="60" s="1"/>
  <c r="H58" i="60"/>
  <c r="D58" i="60"/>
  <c r="C58" i="60"/>
  <c r="M56" i="60"/>
  <c r="P56" i="60" s="1"/>
  <c r="Q56" i="60" s="1"/>
  <c r="F56" i="60"/>
  <c r="E56" i="60"/>
  <c r="M55" i="60"/>
  <c r="P55" i="60" s="1"/>
  <c r="Q55" i="60" s="1"/>
  <c r="F55" i="60"/>
  <c r="E55" i="60"/>
  <c r="M54" i="60"/>
  <c r="N54" i="60" s="1"/>
  <c r="F54" i="60"/>
  <c r="E54" i="60"/>
  <c r="M53" i="60"/>
  <c r="P53" i="60" s="1"/>
  <c r="Q53" i="60" s="1"/>
  <c r="F53" i="60"/>
  <c r="E53" i="60"/>
  <c r="M52" i="60"/>
  <c r="N52" i="60" s="1"/>
  <c r="F52" i="60"/>
  <c r="E52" i="60"/>
  <c r="M51" i="60"/>
  <c r="N51" i="60" s="1"/>
  <c r="F51" i="60"/>
  <c r="E51" i="60"/>
  <c r="M50" i="60"/>
  <c r="P50" i="60" s="1"/>
  <c r="Q50" i="60" s="1"/>
  <c r="F50" i="60"/>
  <c r="E50" i="60"/>
  <c r="M49" i="60"/>
  <c r="P49" i="60" s="1"/>
  <c r="Q49" i="60" s="1"/>
  <c r="F49" i="60"/>
  <c r="E49" i="60"/>
  <c r="M48" i="60"/>
  <c r="P48" i="60" s="1"/>
  <c r="Q48" i="60" s="1"/>
  <c r="F48" i="60"/>
  <c r="E48" i="60"/>
  <c r="M47" i="60"/>
  <c r="P47" i="60" s="1"/>
  <c r="Q47" i="60" s="1"/>
  <c r="F47" i="60"/>
  <c r="E47" i="60"/>
  <c r="M46" i="60"/>
  <c r="N46" i="60" s="1"/>
  <c r="F46" i="60"/>
  <c r="E46" i="60"/>
  <c r="G46" i="60" s="1"/>
  <c r="P45" i="60"/>
  <c r="Q45" i="60" s="1"/>
  <c r="F45" i="60"/>
  <c r="E45" i="60"/>
  <c r="M44" i="60"/>
  <c r="N44" i="60" s="1"/>
  <c r="F44" i="60"/>
  <c r="E44" i="60"/>
  <c r="M43" i="60"/>
  <c r="P43" i="60" s="1"/>
  <c r="Q43" i="60" s="1"/>
  <c r="F43" i="60"/>
  <c r="E43" i="60"/>
  <c r="M42" i="60"/>
  <c r="P42" i="60" s="1"/>
  <c r="Q42" i="60" s="1"/>
  <c r="F42" i="60"/>
  <c r="E42" i="60"/>
  <c r="G42" i="60" s="1"/>
  <c r="M41" i="60"/>
  <c r="P41" i="60" s="1"/>
  <c r="Q41" i="60" s="1"/>
  <c r="F41" i="60"/>
  <c r="E41" i="60"/>
  <c r="M40" i="60"/>
  <c r="P40" i="60" s="1"/>
  <c r="Q40" i="60" s="1"/>
  <c r="F40" i="60"/>
  <c r="E40" i="60"/>
  <c r="M39" i="60"/>
  <c r="P39" i="60" s="1"/>
  <c r="Q39" i="60" s="1"/>
  <c r="F39" i="60"/>
  <c r="E39" i="60"/>
  <c r="M38" i="60"/>
  <c r="P38" i="60" s="1"/>
  <c r="Q38" i="60" s="1"/>
  <c r="F38" i="60"/>
  <c r="E38" i="60"/>
  <c r="M37" i="60"/>
  <c r="P37" i="60" s="1"/>
  <c r="Q37" i="60" s="1"/>
  <c r="F37" i="60"/>
  <c r="E37" i="60"/>
  <c r="M36" i="60"/>
  <c r="N36" i="60" s="1"/>
  <c r="F36" i="60"/>
  <c r="E36" i="60"/>
  <c r="M35" i="60"/>
  <c r="P35" i="60" s="1"/>
  <c r="Q35" i="60" s="1"/>
  <c r="F35" i="60"/>
  <c r="E35" i="60"/>
  <c r="M34" i="60"/>
  <c r="P34" i="60" s="1"/>
  <c r="Q34" i="60" s="1"/>
  <c r="F34" i="60"/>
  <c r="E34" i="60"/>
  <c r="M33" i="60"/>
  <c r="P33" i="60" s="1"/>
  <c r="Q33" i="60" s="1"/>
  <c r="F33" i="60"/>
  <c r="E33" i="60"/>
  <c r="M32" i="60"/>
  <c r="P32" i="60" s="1"/>
  <c r="Q32" i="60" s="1"/>
  <c r="F32" i="60"/>
  <c r="E32" i="60"/>
  <c r="M31" i="60"/>
  <c r="P31" i="60" s="1"/>
  <c r="Q31" i="60" s="1"/>
  <c r="F31" i="60"/>
  <c r="E31" i="60"/>
  <c r="M30" i="60"/>
  <c r="N30" i="60" s="1"/>
  <c r="F30" i="60"/>
  <c r="E30" i="60"/>
  <c r="G30" i="60" s="1"/>
  <c r="M29" i="60"/>
  <c r="P29" i="60" s="1"/>
  <c r="Q29" i="60" s="1"/>
  <c r="F29" i="60"/>
  <c r="E29" i="60"/>
  <c r="M28" i="60"/>
  <c r="N28" i="60" s="1"/>
  <c r="F28" i="60"/>
  <c r="E28" i="60"/>
  <c r="M27" i="60"/>
  <c r="P27" i="60" s="1"/>
  <c r="Q27" i="60" s="1"/>
  <c r="F27" i="60"/>
  <c r="E27" i="60"/>
  <c r="M26" i="60"/>
  <c r="P26" i="60" s="1"/>
  <c r="Q26" i="60" s="1"/>
  <c r="F26" i="60"/>
  <c r="E26" i="60"/>
  <c r="G26" i="60" s="1"/>
  <c r="M25" i="60"/>
  <c r="P25" i="60" s="1"/>
  <c r="Q25" i="60" s="1"/>
  <c r="F25" i="60"/>
  <c r="E25" i="60"/>
  <c r="M24" i="60"/>
  <c r="P24" i="60" s="1"/>
  <c r="Q24" i="60" s="1"/>
  <c r="F24" i="60"/>
  <c r="E24" i="60"/>
  <c r="M23" i="60"/>
  <c r="P23" i="60" s="1"/>
  <c r="Q23" i="60" s="1"/>
  <c r="F23" i="60"/>
  <c r="E23" i="60"/>
  <c r="M22" i="60"/>
  <c r="N22" i="60" s="1"/>
  <c r="F22" i="60"/>
  <c r="E22" i="60"/>
  <c r="M21" i="60"/>
  <c r="P21" i="60" s="1"/>
  <c r="Q21" i="60" s="1"/>
  <c r="F21" i="60"/>
  <c r="E21" i="60"/>
  <c r="M20" i="60"/>
  <c r="N20" i="60" s="1"/>
  <c r="F20" i="60"/>
  <c r="E20" i="60"/>
  <c r="M19" i="60"/>
  <c r="P19" i="60" s="1"/>
  <c r="Q19" i="60" s="1"/>
  <c r="F19" i="60"/>
  <c r="E19" i="60"/>
  <c r="M18" i="60"/>
  <c r="P18" i="60" s="1"/>
  <c r="Q18" i="60" s="1"/>
  <c r="F18" i="60"/>
  <c r="E18" i="60"/>
  <c r="G18" i="60" s="1"/>
  <c r="M17" i="60"/>
  <c r="P17" i="60" s="1"/>
  <c r="Q17" i="60" s="1"/>
  <c r="F17" i="60"/>
  <c r="E17" i="60"/>
  <c r="P16" i="60"/>
  <c r="Q16" i="60" s="1"/>
  <c r="F16" i="60"/>
  <c r="E16" i="60"/>
  <c r="M15" i="60"/>
  <c r="P15" i="60" s="1"/>
  <c r="Q15" i="60" s="1"/>
  <c r="F15" i="60"/>
  <c r="E15" i="60"/>
  <c r="N14" i="60"/>
  <c r="F14" i="60"/>
  <c r="E14" i="60"/>
  <c r="G14" i="60" s="1"/>
  <c r="M13" i="60"/>
  <c r="P13" i="60" s="1"/>
  <c r="Q13" i="60" s="1"/>
  <c r="F13" i="60"/>
  <c r="E13" i="60"/>
  <c r="M12" i="60"/>
  <c r="N12" i="60" s="1"/>
  <c r="F12" i="60"/>
  <c r="E12" i="60"/>
  <c r="M11" i="60"/>
  <c r="P11" i="60" s="1"/>
  <c r="Q11" i="60" s="1"/>
  <c r="F11" i="60"/>
  <c r="E11" i="60"/>
  <c r="M10" i="60"/>
  <c r="E10" i="60"/>
  <c r="M9" i="60"/>
  <c r="P9" i="60" s="1"/>
  <c r="Q9" i="60" s="1"/>
  <c r="F9" i="60"/>
  <c r="E9" i="60"/>
  <c r="M8" i="60"/>
  <c r="P8" i="60" s="1"/>
  <c r="Q8" i="60" s="1"/>
  <c r="F8" i="60"/>
  <c r="E8" i="60"/>
  <c r="M7" i="60"/>
  <c r="P7" i="60" s="1"/>
  <c r="Q7" i="60" s="1"/>
  <c r="F7" i="60"/>
  <c r="E7" i="60"/>
  <c r="M6" i="60"/>
  <c r="P6" i="60" s="1"/>
  <c r="Q6" i="60" s="1"/>
  <c r="F6" i="60"/>
  <c r="E6" i="60"/>
  <c r="M5" i="60"/>
  <c r="P5" i="60" s="1"/>
  <c r="Q5" i="60" s="1"/>
  <c r="F5" i="60"/>
  <c r="E5" i="60"/>
  <c r="M4" i="60"/>
  <c r="N4" i="60" s="1"/>
  <c r="F4" i="60"/>
  <c r="E4" i="60"/>
  <c r="H63" i="59"/>
  <c r="H62" i="59"/>
  <c r="L58" i="59"/>
  <c r="K58" i="59"/>
  <c r="J58" i="59"/>
  <c r="J60" i="59" s="1"/>
  <c r="I58" i="59"/>
  <c r="I60" i="59" s="1"/>
  <c r="H58" i="59"/>
  <c r="D58" i="59"/>
  <c r="C58" i="59"/>
  <c r="M56" i="59"/>
  <c r="P56" i="59" s="1"/>
  <c r="Q56" i="59" s="1"/>
  <c r="F56" i="59"/>
  <c r="E56" i="59"/>
  <c r="M55" i="59"/>
  <c r="N55" i="59" s="1"/>
  <c r="F55" i="59"/>
  <c r="E55" i="59"/>
  <c r="G55" i="59" s="1"/>
  <c r="M54" i="59"/>
  <c r="P54" i="59" s="1"/>
  <c r="Q54" i="59" s="1"/>
  <c r="F54" i="59"/>
  <c r="E54" i="59"/>
  <c r="M53" i="59"/>
  <c r="P53" i="59" s="1"/>
  <c r="Q53" i="59" s="1"/>
  <c r="F53" i="59"/>
  <c r="E53" i="59"/>
  <c r="G53" i="59" s="1"/>
  <c r="M52" i="59"/>
  <c r="N52" i="59" s="1"/>
  <c r="F52" i="59"/>
  <c r="E52" i="59"/>
  <c r="M51" i="59"/>
  <c r="P51" i="59" s="1"/>
  <c r="Q51" i="59" s="1"/>
  <c r="F51" i="59"/>
  <c r="E51" i="59"/>
  <c r="G51" i="59" s="1"/>
  <c r="M50" i="59"/>
  <c r="P50" i="59" s="1"/>
  <c r="Q50" i="59" s="1"/>
  <c r="F50" i="59"/>
  <c r="E50" i="59"/>
  <c r="M49" i="59"/>
  <c r="N49" i="59" s="1"/>
  <c r="F49" i="59"/>
  <c r="E49" i="59"/>
  <c r="M48" i="59"/>
  <c r="P48" i="59" s="1"/>
  <c r="Q48" i="59" s="1"/>
  <c r="F48" i="59"/>
  <c r="E48" i="59"/>
  <c r="M47" i="59"/>
  <c r="N47" i="59" s="1"/>
  <c r="F47" i="59"/>
  <c r="E47" i="59"/>
  <c r="G47" i="59" s="1"/>
  <c r="M46" i="59"/>
  <c r="P46" i="59" s="1"/>
  <c r="Q46" i="59" s="1"/>
  <c r="F46" i="59"/>
  <c r="E46" i="59"/>
  <c r="M45" i="59"/>
  <c r="P45" i="59" s="1"/>
  <c r="Q45" i="59" s="1"/>
  <c r="F45" i="59"/>
  <c r="E45" i="59"/>
  <c r="G45" i="59" s="1"/>
  <c r="M44" i="59"/>
  <c r="N44" i="59" s="1"/>
  <c r="F44" i="59"/>
  <c r="E44" i="59"/>
  <c r="G44" i="59" s="1"/>
  <c r="M43" i="59"/>
  <c r="P43" i="59" s="1"/>
  <c r="Q43" i="59" s="1"/>
  <c r="F43" i="59"/>
  <c r="E43" i="59"/>
  <c r="M42" i="59"/>
  <c r="P42" i="59" s="1"/>
  <c r="Q42" i="59" s="1"/>
  <c r="F42" i="59"/>
  <c r="E42" i="59"/>
  <c r="M41" i="59"/>
  <c r="N41" i="59" s="1"/>
  <c r="F41" i="59"/>
  <c r="E41" i="59"/>
  <c r="G41" i="59" s="1"/>
  <c r="M40" i="59"/>
  <c r="P40" i="59" s="1"/>
  <c r="Q40" i="59" s="1"/>
  <c r="F40" i="59"/>
  <c r="E40" i="59"/>
  <c r="P39" i="59"/>
  <c r="Q39" i="59" s="1"/>
  <c r="M39" i="59"/>
  <c r="N39" i="59" s="1"/>
  <c r="F39" i="59"/>
  <c r="E39" i="59"/>
  <c r="G39" i="59" s="1"/>
  <c r="M38" i="59"/>
  <c r="P38" i="59" s="1"/>
  <c r="Q38" i="59" s="1"/>
  <c r="F38" i="59"/>
  <c r="E38" i="59"/>
  <c r="M37" i="59"/>
  <c r="P37" i="59" s="1"/>
  <c r="Q37" i="59" s="1"/>
  <c r="F37" i="59"/>
  <c r="E37" i="59"/>
  <c r="M36" i="59"/>
  <c r="N36" i="59" s="1"/>
  <c r="F36" i="59"/>
  <c r="E36" i="59"/>
  <c r="M35" i="59"/>
  <c r="P35" i="59" s="1"/>
  <c r="Q35" i="59" s="1"/>
  <c r="F35" i="59"/>
  <c r="E35" i="59"/>
  <c r="G35" i="59" s="1"/>
  <c r="M34" i="59"/>
  <c r="P34" i="59" s="1"/>
  <c r="Q34" i="59" s="1"/>
  <c r="F34" i="59"/>
  <c r="E34" i="59"/>
  <c r="G34" i="59" s="1"/>
  <c r="M33" i="59"/>
  <c r="N33" i="59" s="1"/>
  <c r="F33" i="59"/>
  <c r="E33" i="59"/>
  <c r="M32" i="59"/>
  <c r="P32" i="59" s="1"/>
  <c r="Q32" i="59" s="1"/>
  <c r="F32" i="59"/>
  <c r="E32" i="59"/>
  <c r="M31" i="59"/>
  <c r="N31" i="59" s="1"/>
  <c r="F31" i="59"/>
  <c r="E31" i="59"/>
  <c r="M30" i="59"/>
  <c r="P30" i="59" s="1"/>
  <c r="Q30" i="59" s="1"/>
  <c r="F30" i="59"/>
  <c r="E30" i="59"/>
  <c r="G30" i="59" s="1"/>
  <c r="M29" i="59"/>
  <c r="P29" i="59" s="1"/>
  <c r="Q29" i="59" s="1"/>
  <c r="F29" i="59"/>
  <c r="E29" i="59"/>
  <c r="M28" i="59"/>
  <c r="N28" i="59" s="1"/>
  <c r="F28" i="59"/>
  <c r="E28" i="59"/>
  <c r="G28" i="59" s="1"/>
  <c r="M27" i="59"/>
  <c r="P27" i="59" s="1"/>
  <c r="Q27" i="59" s="1"/>
  <c r="F27" i="59"/>
  <c r="E27" i="59"/>
  <c r="G27" i="59" s="1"/>
  <c r="M26" i="59"/>
  <c r="P26" i="59" s="1"/>
  <c r="Q26" i="59" s="1"/>
  <c r="F26" i="59"/>
  <c r="E26" i="59"/>
  <c r="G26" i="59" s="1"/>
  <c r="M25" i="59"/>
  <c r="N25" i="59" s="1"/>
  <c r="F25" i="59"/>
  <c r="E25" i="59"/>
  <c r="M24" i="59"/>
  <c r="P24" i="59" s="1"/>
  <c r="Q24" i="59" s="1"/>
  <c r="F24" i="59"/>
  <c r="E24" i="59"/>
  <c r="M23" i="59"/>
  <c r="N23" i="59" s="1"/>
  <c r="F23" i="59"/>
  <c r="E23" i="59"/>
  <c r="M22" i="59"/>
  <c r="P22" i="59" s="1"/>
  <c r="Q22" i="59" s="1"/>
  <c r="F22" i="59"/>
  <c r="E22" i="59"/>
  <c r="G22" i="59" s="1"/>
  <c r="M21" i="59"/>
  <c r="P21" i="59" s="1"/>
  <c r="Q21" i="59" s="1"/>
  <c r="F21" i="59"/>
  <c r="E21" i="59"/>
  <c r="M20" i="59"/>
  <c r="N20" i="59" s="1"/>
  <c r="F20" i="59"/>
  <c r="E20" i="59"/>
  <c r="G20" i="59" s="1"/>
  <c r="M19" i="59"/>
  <c r="P19" i="59" s="1"/>
  <c r="Q19" i="59" s="1"/>
  <c r="F19" i="59"/>
  <c r="E19" i="59"/>
  <c r="M18" i="59"/>
  <c r="P18" i="59" s="1"/>
  <c r="Q18" i="59" s="1"/>
  <c r="F18" i="59"/>
  <c r="E18" i="59"/>
  <c r="M17" i="59"/>
  <c r="N17" i="59" s="1"/>
  <c r="F17" i="59"/>
  <c r="E17" i="59"/>
  <c r="M16" i="59"/>
  <c r="P16" i="59" s="1"/>
  <c r="Q16" i="59" s="1"/>
  <c r="F16" i="59"/>
  <c r="E16" i="59"/>
  <c r="M15" i="59"/>
  <c r="N15" i="59" s="1"/>
  <c r="F15" i="59"/>
  <c r="E15" i="59"/>
  <c r="M14" i="59"/>
  <c r="P14" i="59" s="1"/>
  <c r="Q14" i="59" s="1"/>
  <c r="F14" i="59"/>
  <c r="E14" i="59"/>
  <c r="M13" i="59"/>
  <c r="P13" i="59" s="1"/>
  <c r="Q13" i="59" s="1"/>
  <c r="F13" i="59"/>
  <c r="E13" i="59"/>
  <c r="M12" i="59"/>
  <c r="N12" i="59" s="1"/>
  <c r="F12" i="59"/>
  <c r="E12" i="59"/>
  <c r="G12" i="59" s="1"/>
  <c r="M11" i="59"/>
  <c r="P11" i="59" s="1"/>
  <c r="Q11" i="59" s="1"/>
  <c r="F11" i="59"/>
  <c r="E11" i="59"/>
  <c r="M10" i="59"/>
  <c r="P10" i="59" s="1"/>
  <c r="Q10" i="59" s="1"/>
  <c r="F10" i="59"/>
  <c r="E10" i="59"/>
  <c r="M9" i="59"/>
  <c r="N9" i="59" s="1"/>
  <c r="F9" i="59"/>
  <c r="G9" i="59" s="1"/>
  <c r="E9" i="59"/>
  <c r="M8" i="59"/>
  <c r="P8" i="59" s="1"/>
  <c r="Q8" i="59" s="1"/>
  <c r="F8" i="59"/>
  <c r="E8" i="59"/>
  <c r="M7" i="59"/>
  <c r="N7" i="59" s="1"/>
  <c r="F7" i="59"/>
  <c r="E7" i="59"/>
  <c r="G7" i="59" s="1"/>
  <c r="M6" i="59"/>
  <c r="P6" i="59" s="1"/>
  <c r="Q6" i="59" s="1"/>
  <c r="F6" i="59"/>
  <c r="E6" i="59"/>
  <c r="M5" i="59"/>
  <c r="P5" i="59" s="1"/>
  <c r="Q5" i="59" s="1"/>
  <c r="F5" i="59"/>
  <c r="E5" i="59"/>
  <c r="M4" i="59"/>
  <c r="F4" i="59"/>
  <c r="E4" i="59"/>
  <c r="H63" i="58"/>
  <c r="H62" i="58"/>
  <c r="L58" i="58"/>
  <c r="K58" i="58"/>
  <c r="H58" i="58"/>
  <c r="D58" i="58"/>
  <c r="C58" i="58"/>
  <c r="M56" i="58"/>
  <c r="P56" i="58" s="1"/>
  <c r="Q56" i="58" s="1"/>
  <c r="F56" i="58"/>
  <c r="E56" i="58"/>
  <c r="M55" i="58"/>
  <c r="N55" i="58" s="1"/>
  <c r="F55" i="58"/>
  <c r="G55" i="58" s="1"/>
  <c r="E55" i="58"/>
  <c r="M54" i="58"/>
  <c r="P54" i="58" s="1"/>
  <c r="Q54" i="58" s="1"/>
  <c r="F54" i="58"/>
  <c r="E54" i="58"/>
  <c r="M53" i="58"/>
  <c r="P53" i="58" s="1"/>
  <c r="Q53" i="58" s="1"/>
  <c r="F53" i="58"/>
  <c r="E53" i="58"/>
  <c r="G53" i="58" s="1"/>
  <c r="M52" i="58"/>
  <c r="P52" i="58" s="1"/>
  <c r="Q52" i="58" s="1"/>
  <c r="F52" i="58"/>
  <c r="E52" i="58"/>
  <c r="G52" i="58" s="1"/>
  <c r="M51" i="58"/>
  <c r="P51" i="58" s="1"/>
  <c r="Q51" i="58" s="1"/>
  <c r="F51" i="58"/>
  <c r="E51" i="58"/>
  <c r="M50" i="58"/>
  <c r="N50" i="58" s="1"/>
  <c r="F50" i="58"/>
  <c r="E50" i="58"/>
  <c r="M49" i="58"/>
  <c r="P49" i="58" s="1"/>
  <c r="Q49" i="58" s="1"/>
  <c r="F49" i="58"/>
  <c r="E49" i="58"/>
  <c r="M48" i="58"/>
  <c r="P48" i="58" s="1"/>
  <c r="Q48" i="58" s="1"/>
  <c r="F48" i="58"/>
  <c r="E48" i="58"/>
  <c r="G48" i="58" s="1"/>
  <c r="M47" i="58"/>
  <c r="N47" i="58" s="1"/>
  <c r="F47" i="58"/>
  <c r="E47" i="58"/>
  <c r="M46" i="58"/>
  <c r="P46" i="58" s="1"/>
  <c r="Q46" i="58" s="1"/>
  <c r="F46" i="58"/>
  <c r="E46" i="58"/>
  <c r="M45" i="58"/>
  <c r="P45" i="58" s="1"/>
  <c r="Q45" i="58" s="1"/>
  <c r="F45" i="58"/>
  <c r="E45" i="58"/>
  <c r="G45" i="58" s="1"/>
  <c r="M44" i="58"/>
  <c r="P44" i="58" s="1"/>
  <c r="Q44" i="58" s="1"/>
  <c r="F44" i="58"/>
  <c r="E44" i="58"/>
  <c r="G44" i="58" s="1"/>
  <c r="M43" i="58"/>
  <c r="P43" i="58" s="1"/>
  <c r="Q43" i="58" s="1"/>
  <c r="F43" i="58"/>
  <c r="E43" i="58"/>
  <c r="M42" i="58"/>
  <c r="N42" i="58" s="1"/>
  <c r="F42" i="58"/>
  <c r="E42" i="58"/>
  <c r="M41" i="58"/>
  <c r="P41" i="58" s="1"/>
  <c r="Q41" i="58" s="1"/>
  <c r="F41" i="58"/>
  <c r="E41" i="58"/>
  <c r="M40" i="58"/>
  <c r="P40" i="58" s="1"/>
  <c r="Q40" i="58" s="1"/>
  <c r="F40" i="58"/>
  <c r="E40" i="58"/>
  <c r="G40" i="58" s="1"/>
  <c r="M39" i="58"/>
  <c r="N39" i="58" s="1"/>
  <c r="F39" i="58"/>
  <c r="E39" i="58"/>
  <c r="M38" i="58"/>
  <c r="P38" i="58" s="1"/>
  <c r="Q38" i="58" s="1"/>
  <c r="F38" i="58"/>
  <c r="E38" i="58"/>
  <c r="M37" i="58"/>
  <c r="P37" i="58" s="1"/>
  <c r="Q37" i="58" s="1"/>
  <c r="F37" i="58"/>
  <c r="E37" i="58"/>
  <c r="M36" i="58"/>
  <c r="P36" i="58" s="1"/>
  <c r="Q36" i="58" s="1"/>
  <c r="F36" i="58"/>
  <c r="E36" i="58"/>
  <c r="M35" i="58"/>
  <c r="P35" i="58" s="1"/>
  <c r="Q35" i="58" s="1"/>
  <c r="F35" i="58"/>
  <c r="E35" i="58"/>
  <c r="M34" i="58"/>
  <c r="N34" i="58" s="1"/>
  <c r="F34" i="58"/>
  <c r="E34" i="58"/>
  <c r="M33" i="58"/>
  <c r="P33" i="58" s="1"/>
  <c r="Q33" i="58" s="1"/>
  <c r="F33" i="58"/>
  <c r="E33" i="58"/>
  <c r="M32" i="58"/>
  <c r="P32" i="58" s="1"/>
  <c r="Q32" i="58" s="1"/>
  <c r="F32" i="58"/>
  <c r="E32" i="58"/>
  <c r="G32" i="58" s="1"/>
  <c r="M31" i="58"/>
  <c r="N31" i="58" s="1"/>
  <c r="F31" i="58"/>
  <c r="E31" i="58"/>
  <c r="M30" i="58"/>
  <c r="P30" i="58" s="1"/>
  <c r="Q30" i="58" s="1"/>
  <c r="F30" i="58"/>
  <c r="E30" i="58"/>
  <c r="M29" i="58"/>
  <c r="P29" i="58" s="1"/>
  <c r="Q29" i="58" s="1"/>
  <c r="F29" i="58"/>
  <c r="E29" i="58"/>
  <c r="M28" i="58"/>
  <c r="P28" i="58" s="1"/>
  <c r="Q28" i="58" s="1"/>
  <c r="F28" i="58"/>
  <c r="E28" i="58"/>
  <c r="M27" i="58"/>
  <c r="P27" i="58" s="1"/>
  <c r="Q27" i="58" s="1"/>
  <c r="F27" i="58"/>
  <c r="E27" i="58"/>
  <c r="M26" i="58"/>
  <c r="N26" i="58" s="1"/>
  <c r="I58" i="58"/>
  <c r="I60" i="58" s="1"/>
  <c r="F26" i="58"/>
  <c r="E26" i="58"/>
  <c r="M25" i="58"/>
  <c r="N25" i="58" s="1"/>
  <c r="F25" i="58"/>
  <c r="E25" i="58"/>
  <c r="G25" i="58" s="1"/>
  <c r="M24" i="58"/>
  <c r="P24" i="58" s="1"/>
  <c r="Q24" i="58" s="1"/>
  <c r="F24" i="58"/>
  <c r="E24" i="58"/>
  <c r="G24" i="58" s="1"/>
  <c r="M23" i="58"/>
  <c r="P23" i="58" s="1"/>
  <c r="Q23" i="58" s="1"/>
  <c r="F23" i="58"/>
  <c r="E23" i="58"/>
  <c r="M22" i="58"/>
  <c r="N22" i="58" s="1"/>
  <c r="F22" i="58"/>
  <c r="G22" i="58" s="1"/>
  <c r="E22" i="58"/>
  <c r="M21" i="58"/>
  <c r="P21" i="58" s="1"/>
  <c r="Q21" i="58" s="1"/>
  <c r="F21" i="58"/>
  <c r="E21" i="58"/>
  <c r="M20" i="58"/>
  <c r="P20" i="58" s="1"/>
  <c r="Q20" i="58" s="1"/>
  <c r="F20" i="58"/>
  <c r="E20" i="58"/>
  <c r="G20" i="58" s="1"/>
  <c r="M19" i="58"/>
  <c r="P19" i="58" s="1"/>
  <c r="Q19" i="58" s="1"/>
  <c r="F19" i="58"/>
  <c r="E19" i="58"/>
  <c r="M18" i="58"/>
  <c r="P18" i="58" s="1"/>
  <c r="Q18" i="58" s="1"/>
  <c r="F18" i="58"/>
  <c r="E18" i="58"/>
  <c r="M17" i="58"/>
  <c r="N17" i="58" s="1"/>
  <c r="F17" i="58"/>
  <c r="E17" i="58"/>
  <c r="G17" i="58" s="1"/>
  <c r="M16" i="58"/>
  <c r="P16" i="58" s="1"/>
  <c r="Q16" i="58" s="1"/>
  <c r="F16" i="58"/>
  <c r="E16" i="58"/>
  <c r="G16" i="58" s="1"/>
  <c r="M15" i="58"/>
  <c r="P15" i="58" s="1"/>
  <c r="Q15" i="58" s="1"/>
  <c r="F15" i="58"/>
  <c r="E15" i="58"/>
  <c r="J58" i="58"/>
  <c r="J60" i="58" s="1"/>
  <c r="F14" i="58"/>
  <c r="E14" i="58"/>
  <c r="M13" i="58"/>
  <c r="N13" i="58" s="1"/>
  <c r="F13" i="58"/>
  <c r="E13" i="58"/>
  <c r="M12" i="58"/>
  <c r="P12" i="58" s="1"/>
  <c r="Q12" i="58" s="1"/>
  <c r="F12" i="58"/>
  <c r="E12" i="58"/>
  <c r="G12" i="58" s="1"/>
  <c r="M11" i="58"/>
  <c r="P11" i="58" s="1"/>
  <c r="Q11" i="58" s="1"/>
  <c r="F11" i="58"/>
  <c r="E11" i="58"/>
  <c r="G11" i="58" s="1"/>
  <c r="M10" i="58"/>
  <c r="P10" i="58" s="1"/>
  <c r="Q10" i="58" s="1"/>
  <c r="F10" i="58"/>
  <c r="E10" i="58"/>
  <c r="M9" i="58"/>
  <c r="P9" i="58" s="1"/>
  <c r="Q9" i="58" s="1"/>
  <c r="F9" i="58"/>
  <c r="E9" i="58"/>
  <c r="M8" i="58"/>
  <c r="N8" i="58" s="1"/>
  <c r="F8" i="58"/>
  <c r="E8" i="58"/>
  <c r="M7" i="58"/>
  <c r="P7" i="58" s="1"/>
  <c r="Q7" i="58" s="1"/>
  <c r="F7" i="58"/>
  <c r="E7" i="58"/>
  <c r="G7" i="58" s="1"/>
  <c r="M6" i="58"/>
  <c r="P6" i="58" s="1"/>
  <c r="Q6" i="58" s="1"/>
  <c r="F6" i="58"/>
  <c r="E6" i="58"/>
  <c r="M5" i="58"/>
  <c r="N5" i="58" s="1"/>
  <c r="F5" i="58"/>
  <c r="E5" i="58"/>
  <c r="M4" i="58"/>
  <c r="N4" i="58" s="1"/>
  <c r="F4" i="58"/>
  <c r="E4" i="58"/>
  <c r="J14" i="57"/>
  <c r="M14" i="57" s="1"/>
  <c r="P14" i="57" s="1"/>
  <c r="Q14" i="57" s="1"/>
  <c r="I26" i="57"/>
  <c r="M26" i="57" s="1"/>
  <c r="P26" i="57" s="1"/>
  <c r="Q26" i="57" s="1"/>
  <c r="M55" i="57"/>
  <c r="P55" i="57" s="1"/>
  <c r="Q55" i="57" s="1"/>
  <c r="F55" i="57"/>
  <c r="E55" i="57"/>
  <c r="H63" i="57"/>
  <c r="H62" i="57"/>
  <c r="L58" i="57"/>
  <c r="J58" i="57"/>
  <c r="J60" i="57" s="1"/>
  <c r="I58" i="57"/>
  <c r="I60" i="57" s="1"/>
  <c r="H58" i="57"/>
  <c r="D58" i="57"/>
  <c r="C58" i="57"/>
  <c r="M56" i="57"/>
  <c r="P56" i="57" s="1"/>
  <c r="Q56" i="57" s="1"/>
  <c r="F56" i="57"/>
  <c r="E56" i="57"/>
  <c r="M54" i="57"/>
  <c r="P54" i="57" s="1"/>
  <c r="Q54" i="57" s="1"/>
  <c r="F54" i="57"/>
  <c r="E54" i="57"/>
  <c r="M53" i="57"/>
  <c r="N53" i="57" s="1"/>
  <c r="F53" i="57"/>
  <c r="E53" i="57"/>
  <c r="M52" i="57"/>
  <c r="P52" i="57" s="1"/>
  <c r="Q52" i="57" s="1"/>
  <c r="F52" i="57"/>
  <c r="E52" i="57"/>
  <c r="G52" i="57" s="1"/>
  <c r="M51" i="57"/>
  <c r="P51" i="57" s="1"/>
  <c r="Q51" i="57" s="1"/>
  <c r="F51" i="57"/>
  <c r="E51" i="57"/>
  <c r="M50" i="57"/>
  <c r="P50" i="57" s="1"/>
  <c r="Q50" i="57" s="1"/>
  <c r="F50" i="57"/>
  <c r="E50" i="57"/>
  <c r="M49" i="57"/>
  <c r="N49" i="57" s="1"/>
  <c r="F49" i="57"/>
  <c r="E49" i="57"/>
  <c r="M48" i="57"/>
  <c r="P48" i="57" s="1"/>
  <c r="Q48" i="57" s="1"/>
  <c r="F48" i="57"/>
  <c r="E48" i="57"/>
  <c r="G48" i="57" s="1"/>
  <c r="M47" i="57"/>
  <c r="P47" i="57" s="1"/>
  <c r="Q47" i="57" s="1"/>
  <c r="F47" i="57"/>
  <c r="E47" i="57"/>
  <c r="M46" i="57"/>
  <c r="P46" i="57" s="1"/>
  <c r="Q46" i="57" s="1"/>
  <c r="F46" i="57"/>
  <c r="E46" i="57"/>
  <c r="M45" i="57"/>
  <c r="N45" i="57" s="1"/>
  <c r="F45" i="57"/>
  <c r="E45" i="57"/>
  <c r="M44" i="57"/>
  <c r="P44" i="57" s="1"/>
  <c r="Q44" i="57" s="1"/>
  <c r="F44" i="57"/>
  <c r="E44" i="57"/>
  <c r="M43" i="57"/>
  <c r="P43" i="57" s="1"/>
  <c r="Q43" i="57" s="1"/>
  <c r="F43" i="57"/>
  <c r="E43" i="57"/>
  <c r="M42" i="57"/>
  <c r="P42" i="57" s="1"/>
  <c r="Q42" i="57" s="1"/>
  <c r="F42" i="57"/>
  <c r="E42" i="57"/>
  <c r="M41" i="57"/>
  <c r="N41" i="57" s="1"/>
  <c r="F41" i="57"/>
  <c r="E41" i="57"/>
  <c r="M40" i="57"/>
  <c r="N40" i="57" s="1"/>
  <c r="F40" i="57"/>
  <c r="E40" i="57"/>
  <c r="M39" i="57"/>
  <c r="P39" i="57" s="1"/>
  <c r="Q39" i="57" s="1"/>
  <c r="F39" i="57"/>
  <c r="E39" i="57"/>
  <c r="M38" i="57"/>
  <c r="P38" i="57" s="1"/>
  <c r="Q38" i="57" s="1"/>
  <c r="F38" i="57"/>
  <c r="E38" i="57"/>
  <c r="M37" i="57"/>
  <c r="N37" i="57" s="1"/>
  <c r="F37" i="57"/>
  <c r="E37" i="57"/>
  <c r="M36" i="57"/>
  <c r="P36" i="57" s="1"/>
  <c r="Q36" i="57" s="1"/>
  <c r="F36" i="57"/>
  <c r="E36" i="57"/>
  <c r="M35" i="57"/>
  <c r="P35" i="57" s="1"/>
  <c r="Q35" i="57" s="1"/>
  <c r="F35" i="57"/>
  <c r="E35" i="57"/>
  <c r="M34" i="57"/>
  <c r="P34" i="57" s="1"/>
  <c r="Q34" i="57" s="1"/>
  <c r="F34" i="57"/>
  <c r="E34" i="57"/>
  <c r="M33" i="57"/>
  <c r="N33" i="57" s="1"/>
  <c r="F33" i="57"/>
  <c r="E33" i="57"/>
  <c r="M32" i="57"/>
  <c r="P32" i="57" s="1"/>
  <c r="Q32" i="57" s="1"/>
  <c r="F32" i="57"/>
  <c r="E32" i="57"/>
  <c r="M31" i="57"/>
  <c r="P31" i="57" s="1"/>
  <c r="Q31" i="57" s="1"/>
  <c r="F31" i="57"/>
  <c r="E31" i="57"/>
  <c r="M30" i="57"/>
  <c r="P30" i="57" s="1"/>
  <c r="Q30" i="57" s="1"/>
  <c r="F30" i="57"/>
  <c r="E30" i="57"/>
  <c r="M29" i="57"/>
  <c r="N29" i="57" s="1"/>
  <c r="F29" i="57"/>
  <c r="E29" i="57"/>
  <c r="M28" i="57"/>
  <c r="P28" i="57" s="1"/>
  <c r="Q28" i="57" s="1"/>
  <c r="F28" i="57"/>
  <c r="E28" i="57"/>
  <c r="G28" i="57" s="1"/>
  <c r="M27" i="57"/>
  <c r="P27" i="57" s="1"/>
  <c r="Q27" i="57" s="1"/>
  <c r="F27" i="57"/>
  <c r="E27" i="57"/>
  <c r="F26" i="57"/>
  <c r="E26" i="57"/>
  <c r="M25" i="57"/>
  <c r="N25" i="57" s="1"/>
  <c r="F25" i="57"/>
  <c r="E25" i="57"/>
  <c r="G25" i="57" s="1"/>
  <c r="M24" i="57"/>
  <c r="P24" i="57" s="1"/>
  <c r="Q24" i="57" s="1"/>
  <c r="F24" i="57"/>
  <c r="E24" i="57"/>
  <c r="M23" i="57"/>
  <c r="P23" i="57" s="1"/>
  <c r="Q23" i="57" s="1"/>
  <c r="F23" i="57"/>
  <c r="E23" i="57"/>
  <c r="M22" i="57"/>
  <c r="P22" i="57" s="1"/>
  <c r="Q22" i="57" s="1"/>
  <c r="F22" i="57"/>
  <c r="E22" i="57"/>
  <c r="M21" i="57"/>
  <c r="P21" i="57" s="1"/>
  <c r="Q21" i="57" s="1"/>
  <c r="F21" i="57"/>
  <c r="E21" i="57"/>
  <c r="M20" i="57"/>
  <c r="P20" i="57" s="1"/>
  <c r="Q20" i="57" s="1"/>
  <c r="F20" i="57"/>
  <c r="E20" i="57"/>
  <c r="M19" i="57"/>
  <c r="N19" i="57" s="1"/>
  <c r="F19" i="57"/>
  <c r="E19" i="57"/>
  <c r="M18" i="57"/>
  <c r="N18" i="57" s="1"/>
  <c r="F18" i="57"/>
  <c r="E18" i="57"/>
  <c r="M17" i="57"/>
  <c r="P17" i="57" s="1"/>
  <c r="Q17" i="57" s="1"/>
  <c r="F17" i="57"/>
  <c r="E17" i="57"/>
  <c r="M16" i="57"/>
  <c r="P16" i="57" s="1"/>
  <c r="Q16" i="57" s="1"/>
  <c r="F16" i="57"/>
  <c r="E16" i="57"/>
  <c r="M15" i="57"/>
  <c r="N15" i="57" s="1"/>
  <c r="F15" i="57"/>
  <c r="E15" i="57"/>
  <c r="F14" i="57"/>
  <c r="E14" i="57"/>
  <c r="M13" i="57"/>
  <c r="P13" i="57" s="1"/>
  <c r="Q13" i="57" s="1"/>
  <c r="F13" i="57"/>
  <c r="E13" i="57"/>
  <c r="M12" i="57"/>
  <c r="P12" i="57" s="1"/>
  <c r="Q12" i="57" s="1"/>
  <c r="F12" i="57"/>
  <c r="E12" i="57"/>
  <c r="M11" i="57"/>
  <c r="N11" i="57" s="1"/>
  <c r="F11" i="57"/>
  <c r="E11" i="57"/>
  <c r="M10" i="57"/>
  <c r="P10" i="57" s="1"/>
  <c r="Q10" i="57" s="1"/>
  <c r="F10" i="57"/>
  <c r="E10" i="57"/>
  <c r="K58" i="57"/>
  <c r="F9" i="57"/>
  <c r="E9" i="57"/>
  <c r="M8" i="57"/>
  <c r="P8" i="57" s="1"/>
  <c r="Q8" i="57" s="1"/>
  <c r="F8" i="57"/>
  <c r="E8" i="57"/>
  <c r="M7" i="57"/>
  <c r="P7" i="57" s="1"/>
  <c r="Q7" i="57" s="1"/>
  <c r="F7" i="57"/>
  <c r="E7" i="57"/>
  <c r="M6" i="57"/>
  <c r="P6" i="57" s="1"/>
  <c r="Q6" i="57" s="1"/>
  <c r="F6" i="57"/>
  <c r="E6" i="57"/>
  <c r="M5" i="57"/>
  <c r="P5" i="57" s="1"/>
  <c r="Q5" i="57" s="1"/>
  <c r="F5" i="57"/>
  <c r="E5" i="57"/>
  <c r="M4" i="57"/>
  <c r="F4" i="57"/>
  <c r="E4" i="57"/>
  <c r="H58" i="56"/>
  <c r="H63" i="56"/>
  <c r="H62" i="56"/>
  <c r="L58" i="56"/>
  <c r="J58" i="56"/>
  <c r="J60" i="56" s="1"/>
  <c r="I58" i="56"/>
  <c r="I60" i="56" s="1"/>
  <c r="D58" i="56"/>
  <c r="C58" i="56"/>
  <c r="M56" i="56"/>
  <c r="P56" i="56" s="1"/>
  <c r="Q56" i="56" s="1"/>
  <c r="F56" i="56"/>
  <c r="E56" i="56"/>
  <c r="M55" i="56"/>
  <c r="P55" i="56" s="1"/>
  <c r="Q55" i="56" s="1"/>
  <c r="F55" i="56"/>
  <c r="E55" i="56"/>
  <c r="G55" i="56" s="1"/>
  <c r="M54" i="56"/>
  <c r="P54" i="56" s="1"/>
  <c r="Q54" i="56" s="1"/>
  <c r="F54" i="56"/>
  <c r="E54" i="56"/>
  <c r="G54" i="56" s="1"/>
  <c r="M53" i="56"/>
  <c r="P53" i="56" s="1"/>
  <c r="Q53" i="56" s="1"/>
  <c r="F53" i="56"/>
  <c r="E53" i="56"/>
  <c r="M52" i="56"/>
  <c r="N52" i="56" s="1"/>
  <c r="F52" i="56"/>
  <c r="E52" i="56"/>
  <c r="M51" i="56"/>
  <c r="P51" i="56" s="1"/>
  <c r="Q51" i="56" s="1"/>
  <c r="F51" i="56"/>
  <c r="E51" i="56"/>
  <c r="G51" i="56" s="1"/>
  <c r="M50" i="56"/>
  <c r="P50" i="56" s="1"/>
  <c r="Q50" i="56" s="1"/>
  <c r="F50" i="56"/>
  <c r="E50" i="56"/>
  <c r="G50" i="56" s="1"/>
  <c r="M49" i="56"/>
  <c r="N49" i="56" s="1"/>
  <c r="F49" i="56"/>
  <c r="E49" i="56"/>
  <c r="M48" i="56"/>
  <c r="P48" i="56" s="1"/>
  <c r="Q48" i="56" s="1"/>
  <c r="F48" i="56"/>
  <c r="E48" i="56"/>
  <c r="M47" i="56"/>
  <c r="P47" i="56" s="1"/>
  <c r="Q47" i="56" s="1"/>
  <c r="F47" i="56"/>
  <c r="E47" i="56"/>
  <c r="M46" i="56"/>
  <c r="N46" i="56" s="1"/>
  <c r="F46" i="56"/>
  <c r="E46" i="56"/>
  <c r="G46" i="56" s="1"/>
  <c r="M45" i="56"/>
  <c r="P45" i="56" s="1"/>
  <c r="Q45" i="56" s="1"/>
  <c r="F45" i="56"/>
  <c r="E45" i="56"/>
  <c r="M44" i="56"/>
  <c r="N44" i="56" s="1"/>
  <c r="F44" i="56"/>
  <c r="E44" i="56"/>
  <c r="M43" i="56"/>
  <c r="P43" i="56" s="1"/>
  <c r="Q43" i="56" s="1"/>
  <c r="F43" i="56"/>
  <c r="E43" i="56"/>
  <c r="G43" i="56" s="1"/>
  <c r="M42" i="56"/>
  <c r="P42" i="56" s="1"/>
  <c r="Q42" i="56" s="1"/>
  <c r="F42" i="56"/>
  <c r="E42" i="56"/>
  <c r="M41" i="56"/>
  <c r="N41" i="56" s="1"/>
  <c r="F41" i="56"/>
  <c r="E41" i="56"/>
  <c r="M40" i="56"/>
  <c r="P40" i="56" s="1"/>
  <c r="Q40" i="56" s="1"/>
  <c r="F40" i="56"/>
  <c r="E40" i="56"/>
  <c r="M39" i="56"/>
  <c r="P39" i="56" s="1"/>
  <c r="Q39" i="56" s="1"/>
  <c r="F39" i="56"/>
  <c r="E39" i="56"/>
  <c r="M38" i="56"/>
  <c r="P38" i="56" s="1"/>
  <c r="Q38" i="56" s="1"/>
  <c r="F38" i="56"/>
  <c r="E38" i="56"/>
  <c r="G38" i="56" s="1"/>
  <c r="M37" i="56"/>
  <c r="N37" i="56" s="1"/>
  <c r="F37" i="56"/>
  <c r="E37" i="56"/>
  <c r="M36" i="56"/>
  <c r="P36" i="56" s="1"/>
  <c r="Q36" i="56" s="1"/>
  <c r="F36" i="56"/>
  <c r="E36" i="56"/>
  <c r="M35" i="56"/>
  <c r="N35" i="56" s="1"/>
  <c r="F35" i="56"/>
  <c r="E35" i="56"/>
  <c r="G35" i="56" s="1"/>
  <c r="M34" i="56"/>
  <c r="P34" i="56" s="1"/>
  <c r="Q34" i="56" s="1"/>
  <c r="F34" i="56"/>
  <c r="E34" i="56"/>
  <c r="G34" i="56" s="1"/>
  <c r="M33" i="56"/>
  <c r="P33" i="56" s="1"/>
  <c r="Q33" i="56" s="1"/>
  <c r="F33" i="56"/>
  <c r="E33" i="56"/>
  <c r="M32" i="56"/>
  <c r="N32" i="56" s="1"/>
  <c r="F32" i="56"/>
  <c r="E32" i="56"/>
  <c r="M31" i="56"/>
  <c r="P31" i="56" s="1"/>
  <c r="Q31" i="56" s="1"/>
  <c r="F31" i="56"/>
  <c r="E31" i="56"/>
  <c r="M30" i="56"/>
  <c r="P30" i="56" s="1"/>
  <c r="Q30" i="56" s="1"/>
  <c r="F30" i="56"/>
  <c r="E30" i="56"/>
  <c r="M29" i="56"/>
  <c r="N29" i="56" s="1"/>
  <c r="F29" i="56"/>
  <c r="E29" i="56"/>
  <c r="M28" i="56"/>
  <c r="P28" i="56" s="1"/>
  <c r="Q28" i="56" s="1"/>
  <c r="F28" i="56"/>
  <c r="E28" i="56"/>
  <c r="M27" i="56"/>
  <c r="N27" i="56" s="1"/>
  <c r="F27" i="56"/>
  <c r="E27" i="56"/>
  <c r="M26" i="56"/>
  <c r="P26" i="56" s="1"/>
  <c r="Q26" i="56" s="1"/>
  <c r="F26" i="56"/>
  <c r="E26" i="56"/>
  <c r="G26" i="56" s="1"/>
  <c r="M25" i="56"/>
  <c r="P25" i="56" s="1"/>
  <c r="Q25" i="56" s="1"/>
  <c r="F25" i="56"/>
  <c r="E25" i="56"/>
  <c r="M24" i="56"/>
  <c r="N24" i="56" s="1"/>
  <c r="F24" i="56"/>
  <c r="E24" i="56"/>
  <c r="M23" i="56"/>
  <c r="P23" i="56" s="1"/>
  <c r="Q23" i="56" s="1"/>
  <c r="F23" i="56"/>
  <c r="E23" i="56"/>
  <c r="P22" i="56"/>
  <c r="Q22" i="56" s="1"/>
  <c r="F22" i="56"/>
  <c r="E22" i="56"/>
  <c r="M21" i="56"/>
  <c r="N21" i="56" s="1"/>
  <c r="F21" i="56"/>
  <c r="E21" i="56"/>
  <c r="M20" i="56"/>
  <c r="P20" i="56" s="1"/>
  <c r="Q20" i="56" s="1"/>
  <c r="F20" i="56"/>
  <c r="E20" i="56"/>
  <c r="M19" i="56"/>
  <c r="P19" i="56" s="1"/>
  <c r="Q19" i="56" s="1"/>
  <c r="F19" i="56"/>
  <c r="E19" i="56"/>
  <c r="G19" i="56" s="1"/>
  <c r="M18" i="56"/>
  <c r="N18" i="56" s="1"/>
  <c r="F18" i="56"/>
  <c r="E18" i="56"/>
  <c r="M17" i="56"/>
  <c r="N17" i="56" s="1"/>
  <c r="F17" i="56"/>
  <c r="E17" i="56"/>
  <c r="M16" i="56"/>
  <c r="P16" i="56" s="1"/>
  <c r="Q16" i="56" s="1"/>
  <c r="F16" i="56"/>
  <c r="E16" i="56"/>
  <c r="M15" i="56"/>
  <c r="N15" i="56" s="1"/>
  <c r="F15" i="56"/>
  <c r="E15" i="56"/>
  <c r="M14" i="56"/>
  <c r="P14" i="56" s="1"/>
  <c r="Q14" i="56" s="1"/>
  <c r="F14" i="56"/>
  <c r="E14" i="56"/>
  <c r="M13" i="56"/>
  <c r="N13" i="56" s="1"/>
  <c r="F13" i="56"/>
  <c r="E13" i="56"/>
  <c r="M12" i="56"/>
  <c r="P12" i="56" s="1"/>
  <c r="Q12" i="56" s="1"/>
  <c r="F12" i="56"/>
  <c r="E12" i="56"/>
  <c r="M11" i="56"/>
  <c r="P11" i="56" s="1"/>
  <c r="Q11" i="56" s="1"/>
  <c r="F11" i="56"/>
  <c r="E11" i="56"/>
  <c r="M10" i="56"/>
  <c r="N10" i="56" s="1"/>
  <c r="F10" i="56"/>
  <c r="E10" i="56"/>
  <c r="K9" i="56"/>
  <c r="M9" i="56" s="1"/>
  <c r="F9" i="56"/>
  <c r="E9" i="56"/>
  <c r="G9" i="56" s="1"/>
  <c r="M8" i="56"/>
  <c r="P8" i="56" s="1"/>
  <c r="Q8" i="56" s="1"/>
  <c r="F8" i="56"/>
  <c r="E8" i="56"/>
  <c r="M7" i="56"/>
  <c r="P7" i="56" s="1"/>
  <c r="Q7" i="56" s="1"/>
  <c r="F7" i="56"/>
  <c r="E7" i="56"/>
  <c r="M6" i="56"/>
  <c r="N6" i="56" s="1"/>
  <c r="F6" i="56"/>
  <c r="E6" i="56"/>
  <c r="G6" i="56" s="1"/>
  <c r="M5" i="56"/>
  <c r="P5" i="56" s="1"/>
  <c r="Q5" i="56" s="1"/>
  <c r="F5" i="56"/>
  <c r="E5" i="56"/>
  <c r="M4" i="56"/>
  <c r="P4" i="56" s="1"/>
  <c r="F4" i="56"/>
  <c r="E4" i="56"/>
  <c r="K40" i="55"/>
  <c r="G4" i="59" l="1"/>
  <c r="G56" i="59"/>
  <c r="G11" i="60"/>
  <c r="G14" i="56"/>
  <c r="G18" i="56"/>
  <c r="G7" i="56"/>
  <c r="G8" i="56"/>
  <c r="G16" i="56"/>
  <c r="G20" i="56"/>
  <c r="G24" i="56"/>
  <c r="G45" i="56"/>
  <c r="G12" i="57"/>
  <c r="G41" i="57"/>
  <c r="G6" i="58"/>
  <c r="G10" i="58"/>
  <c r="G31" i="58"/>
  <c r="G39" i="58"/>
  <c r="G13" i="59"/>
  <c r="G17" i="59"/>
  <c r="G21" i="59"/>
  <c r="G25" i="59"/>
  <c r="G46" i="59"/>
  <c r="G54" i="59"/>
  <c r="H64" i="59"/>
  <c r="G10" i="60"/>
  <c r="G13" i="60"/>
  <c r="G33" i="60"/>
  <c r="G53" i="60"/>
  <c r="G28" i="56"/>
  <c r="G40" i="56"/>
  <c r="G36" i="58"/>
  <c r="G49" i="58"/>
  <c r="G14" i="58"/>
  <c r="G19" i="58"/>
  <c r="G29" i="58"/>
  <c r="G34" i="58"/>
  <c r="G38" i="58"/>
  <c r="G42" i="58"/>
  <c r="G43" i="58"/>
  <c r="G47" i="58"/>
  <c r="H64" i="58"/>
  <c r="G6" i="59"/>
  <c r="G15" i="59"/>
  <c r="G38" i="59"/>
  <c r="G5" i="60"/>
  <c r="G9" i="60"/>
  <c r="G56" i="56"/>
  <c r="H64" i="56"/>
  <c r="G8" i="59"/>
  <c r="G36" i="59"/>
  <c r="G25" i="56"/>
  <c r="G33" i="56"/>
  <c r="G8" i="57"/>
  <c r="G39" i="57"/>
  <c r="G43" i="57"/>
  <c r="G4" i="58"/>
  <c r="G8" i="58"/>
  <c r="G13" i="58"/>
  <c r="G28" i="58"/>
  <c r="G33" i="58"/>
  <c r="G41" i="58"/>
  <c r="G46" i="58"/>
  <c r="G54" i="58"/>
  <c r="G5" i="59"/>
  <c r="G10" i="59"/>
  <c r="G18" i="59"/>
  <c r="G23" i="59"/>
  <c r="G24" i="59"/>
  <c r="N27" i="59"/>
  <c r="G29" i="59"/>
  <c r="G33" i="59"/>
  <c r="G42" i="59"/>
  <c r="N46" i="59"/>
  <c r="G49" i="59"/>
  <c r="G52" i="59"/>
  <c r="G35" i="60"/>
  <c r="G47" i="60"/>
  <c r="G51" i="60"/>
  <c r="G55" i="60"/>
  <c r="G48" i="59"/>
  <c r="P52" i="59"/>
  <c r="Q52" i="59" s="1"/>
  <c r="G10" i="56"/>
  <c r="G32" i="56"/>
  <c r="G37" i="56"/>
  <c r="G41" i="56"/>
  <c r="G49" i="56"/>
  <c r="G20" i="57"/>
  <c r="G27" i="57"/>
  <c r="G55" i="57"/>
  <c r="G18" i="58"/>
  <c r="N21" i="58"/>
  <c r="G26" i="58"/>
  <c r="G27" i="58"/>
  <c r="F58" i="59"/>
  <c r="G11" i="59"/>
  <c r="G16" i="59"/>
  <c r="G40" i="59"/>
  <c r="G12" i="56"/>
  <c r="G22" i="57"/>
  <c r="G29" i="57"/>
  <c r="G53" i="57"/>
  <c r="E58" i="58"/>
  <c r="G35" i="58"/>
  <c r="G4" i="56"/>
  <c r="G13" i="56"/>
  <c r="G22" i="56"/>
  <c r="G44" i="56"/>
  <c r="G53" i="56"/>
  <c r="G30" i="57"/>
  <c r="G34" i="57"/>
  <c r="G38" i="57"/>
  <c r="G42" i="57"/>
  <c r="G54" i="57"/>
  <c r="H64" i="57"/>
  <c r="F58" i="58"/>
  <c r="G5" i="58"/>
  <c r="G9" i="58"/>
  <c r="G15" i="58"/>
  <c r="G21" i="58"/>
  <c r="G23" i="58"/>
  <c r="G30" i="58"/>
  <c r="G37" i="58"/>
  <c r="G50" i="58"/>
  <c r="G51" i="58"/>
  <c r="G56" i="58"/>
  <c r="G14" i="59"/>
  <c r="G19" i="59"/>
  <c r="G31" i="59"/>
  <c r="G32" i="59"/>
  <c r="G37" i="59"/>
  <c r="G43" i="59"/>
  <c r="G50" i="59"/>
  <c r="G19" i="60"/>
  <c r="G23" i="60"/>
  <c r="G31" i="60"/>
  <c r="G32" i="60"/>
  <c r="G36" i="60"/>
  <c r="G49" i="60"/>
  <c r="G52" i="60"/>
  <c r="R58" i="63"/>
  <c r="R59" i="62"/>
  <c r="G59" i="61"/>
  <c r="N59" i="61"/>
  <c r="P59" i="61"/>
  <c r="Q59" i="61"/>
  <c r="G27" i="60"/>
  <c r="G48" i="60"/>
  <c r="G17" i="60"/>
  <c r="G21" i="60"/>
  <c r="G25" i="60"/>
  <c r="G29" i="60"/>
  <c r="G34" i="60"/>
  <c r="G43" i="60"/>
  <c r="G4" i="60"/>
  <c r="G12" i="60"/>
  <c r="G20" i="60"/>
  <c r="G37" i="60"/>
  <c r="G41" i="60"/>
  <c r="G45" i="60"/>
  <c r="E58" i="60"/>
  <c r="G8" i="60"/>
  <c r="G24" i="60"/>
  <c r="G39" i="60"/>
  <c r="G40" i="60"/>
  <c r="G50" i="60"/>
  <c r="G56" i="60"/>
  <c r="G6" i="60"/>
  <c r="F58" i="60"/>
  <c r="G15" i="60"/>
  <c r="G16" i="60"/>
  <c r="P20" i="60"/>
  <c r="Q20" i="60" s="1"/>
  <c r="G22" i="60"/>
  <c r="G28" i="60"/>
  <c r="G38" i="60"/>
  <c r="G44" i="60"/>
  <c r="G54" i="60"/>
  <c r="N27" i="60"/>
  <c r="P52" i="60"/>
  <c r="Q52" i="60" s="1"/>
  <c r="P51" i="60"/>
  <c r="Q51" i="60" s="1"/>
  <c r="N43" i="60"/>
  <c r="N35" i="60"/>
  <c r="P30" i="60"/>
  <c r="Q30" i="60" s="1"/>
  <c r="P22" i="60"/>
  <c r="Q22" i="60" s="1"/>
  <c r="N11" i="60"/>
  <c r="P28" i="60"/>
  <c r="Q28" i="60" s="1"/>
  <c r="P36" i="60"/>
  <c r="Q36" i="60" s="1"/>
  <c r="N38" i="60"/>
  <c r="P44" i="60"/>
  <c r="Q44" i="60" s="1"/>
  <c r="P46" i="60"/>
  <c r="Q46" i="60" s="1"/>
  <c r="P14" i="60"/>
  <c r="Q14" i="60" s="1"/>
  <c r="N53" i="60"/>
  <c r="N19" i="60"/>
  <c r="N29" i="60"/>
  <c r="N37" i="60"/>
  <c r="N45" i="60"/>
  <c r="N21" i="60"/>
  <c r="P54" i="60"/>
  <c r="Q54" i="60" s="1"/>
  <c r="N13" i="60"/>
  <c r="P12" i="60"/>
  <c r="Q12" i="60" s="1"/>
  <c r="M58" i="60"/>
  <c r="H61" i="60" s="1"/>
  <c r="N6" i="60"/>
  <c r="N5" i="60"/>
  <c r="P4" i="60"/>
  <c r="Q4" i="60" s="1"/>
  <c r="N10" i="60"/>
  <c r="N18" i="60"/>
  <c r="N26" i="60"/>
  <c r="N34" i="60"/>
  <c r="N42" i="60"/>
  <c r="N50" i="60"/>
  <c r="N25" i="60"/>
  <c r="N8" i="60"/>
  <c r="N16" i="60"/>
  <c r="N24" i="60"/>
  <c r="N32" i="60"/>
  <c r="N40" i="60"/>
  <c r="N48" i="60"/>
  <c r="N56" i="60"/>
  <c r="N7" i="60"/>
  <c r="N15" i="60"/>
  <c r="N23" i="60"/>
  <c r="N31" i="60"/>
  <c r="N39" i="60"/>
  <c r="N47" i="60"/>
  <c r="N55" i="60"/>
  <c r="G7" i="60"/>
  <c r="N9" i="60"/>
  <c r="P10" i="60"/>
  <c r="Q10" i="60" s="1"/>
  <c r="N17" i="60"/>
  <c r="N33" i="60"/>
  <c r="N41" i="60"/>
  <c r="N49" i="60"/>
  <c r="P7" i="59"/>
  <c r="Q7" i="59" s="1"/>
  <c r="P15" i="59"/>
  <c r="Q15" i="59" s="1"/>
  <c r="N22" i="59"/>
  <c r="P55" i="59"/>
  <c r="Q55" i="59" s="1"/>
  <c r="N54" i="59"/>
  <c r="N51" i="59"/>
  <c r="P47" i="59"/>
  <c r="Q47" i="59" s="1"/>
  <c r="P44" i="59"/>
  <c r="Q44" i="59" s="1"/>
  <c r="N43" i="59"/>
  <c r="N38" i="59"/>
  <c r="P36" i="59"/>
  <c r="Q36" i="59" s="1"/>
  <c r="N35" i="59"/>
  <c r="P31" i="59"/>
  <c r="Q31" i="59" s="1"/>
  <c r="N30" i="59"/>
  <c r="P28" i="59"/>
  <c r="Q28" i="59" s="1"/>
  <c r="P23" i="59"/>
  <c r="Q23" i="59" s="1"/>
  <c r="P20" i="59"/>
  <c r="Q20" i="59" s="1"/>
  <c r="N19" i="59"/>
  <c r="N14" i="59"/>
  <c r="P12" i="59"/>
  <c r="Q12" i="59" s="1"/>
  <c r="N11" i="59"/>
  <c r="N6" i="59"/>
  <c r="M58" i="59"/>
  <c r="H61" i="59" s="1"/>
  <c r="P4" i="59"/>
  <c r="E58" i="59"/>
  <c r="N10" i="59"/>
  <c r="N26" i="59"/>
  <c r="N42" i="59"/>
  <c r="N8" i="59"/>
  <c r="P9" i="59"/>
  <c r="Q9" i="59" s="1"/>
  <c r="N16" i="59"/>
  <c r="P17" i="59"/>
  <c r="Q17" i="59" s="1"/>
  <c r="N24" i="59"/>
  <c r="P25" i="59"/>
  <c r="Q25" i="59" s="1"/>
  <c r="N32" i="59"/>
  <c r="P33" i="59"/>
  <c r="Q33" i="59" s="1"/>
  <c r="N40" i="59"/>
  <c r="P41" i="59"/>
  <c r="Q41" i="59" s="1"/>
  <c r="N48" i="59"/>
  <c r="P49" i="59"/>
  <c r="Q49" i="59" s="1"/>
  <c r="N56" i="59"/>
  <c r="N18" i="59"/>
  <c r="N34" i="59"/>
  <c r="N50" i="59"/>
  <c r="N5" i="59"/>
  <c r="N13" i="59"/>
  <c r="N21" i="59"/>
  <c r="N29" i="59"/>
  <c r="N37" i="59"/>
  <c r="N45" i="59"/>
  <c r="N53" i="59"/>
  <c r="N4" i="59"/>
  <c r="N52" i="58"/>
  <c r="P50" i="58"/>
  <c r="Q50" i="58" s="1"/>
  <c r="N43" i="58"/>
  <c r="N41" i="58"/>
  <c r="P39" i="58"/>
  <c r="Q39" i="58" s="1"/>
  <c r="N38" i="58"/>
  <c r="N36" i="58"/>
  <c r="P34" i="58"/>
  <c r="Q34" i="58" s="1"/>
  <c r="N19" i="58"/>
  <c r="N18" i="58"/>
  <c r="N16" i="58"/>
  <c r="N12" i="58"/>
  <c r="N10" i="58"/>
  <c r="P8" i="58"/>
  <c r="Q8" i="58" s="1"/>
  <c r="P22" i="58"/>
  <c r="Q22" i="58" s="1"/>
  <c r="P5" i="58"/>
  <c r="Q5" i="58" s="1"/>
  <c r="N7" i="58"/>
  <c r="N9" i="58"/>
  <c r="P26" i="58"/>
  <c r="Q26" i="58" s="1"/>
  <c r="P31" i="58"/>
  <c r="Q31" i="58" s="1"/>
  <c r="N33" i="58"/>
  <c r="N35" i="58"/>
  <c r="P42" i="58"/>
  <c r="Q42" i="58" s="1"/>
  <c r="P47" i="58"/>
  <c r="Q47" i="58" s="1"/>
  <c r="N49" i="58"/>
  <c r="N51" i="58"/>
  <c r="P17" i="58"/>
  <c r="Q17" i="58" s="1"/>
  <c r="N28" i="58"/>
  <c r="N30" i="58"/>
  <c r="N44" i="58"/>
  <c r="N46" i="58"/>
  <c r="P13" i="58"/>
  <c r="Q13" i="58" s="1"/>
  <c r="N24" i="58"/>
  <c r="P25" i="58"/>
  <c r="Q25" i="58" s="1"/>
  <c r="N27" i="58"/>
  <c r="P55" i="58"/>
  <c r="Q55" i="58" s="1"/>
  <c r="N54" i="58"/>
  <c r="N6" i="58"/>
  <c r="M14" i="58"/>
  <c r="N15" i="58"/>
  <c r="N23" i="58"/>
  <c r="N32" i="58"/>
  <c r="N40" i="58"/>
  <c r="N48" i="58"/>
  <c r="N56" i="58"/>
  <c r="P4" i="58"/>
  <c r="N11" i="58"/>
  <c r="N20" i="58"/>
  <c r="N29" i="58"/>
  <c r="N37" i="58"/>
  <c r="N45" i="58"/>
  <c r="N53" i="58"/>
  <c r="P18" i="57"/>
  <c r="Q18" i="57" s="1"/>
  <c r="N14" i="57"/>
  <c r="N55" i="57"/>
  <c r="G11" i="57"/>
  <c r="G13" i="57"/>
  <c r="G15" i="57"/>
  <c r="G23" i="57"/>
  <c r="N32" i="57"/>
  <c r="N36" i="57"/>
  <c r="N6" i="57"/>
  <c r="G16" i="57"/>
  <c r="G26" i="57"/>
  <c r="P49" i="57"/>
  <c r="Q49" i="57" s="1"/>
  <c r="G46" i="57"/>
  <c r="G7" i="57"/>
  <c r="P11" i="57"/>
  <c r="Q11" i="57" s="1"/>
  <c r="G14" i="57"/>
  <c r="G24" i="57"/>
  <c r="G45" i="57"/>
  <c r="N10" i="57"/>
  <c r="G10" i="57"/>
  <c r="G50" i="57"/>
  <c r="P29" i="57"/>
  <c r="Q29" i="57" s="1"/>
  <c r="G32" i="57"/>
  <c r="P33" i="57"/>
  <c r="Q33" i="57" s="1"/>
  <c r="G36" i="57"/>
  <c r="P40" i="57"/>
  <c r="Q40" i="57" s="1"/>
  <c r="P45" i="57"/>
  <c r="Q45" i="57" s="1"/>
  <c r="G5" i="57"/>
  <c r="G9" i="57"/>
  <c r="G17" i="57"/>
  <c r="G19" i="57"/>
  <c r="G21" i="57"/>
  <c r="P37" i="57"/>
  <c r="Q37" i="57" s="1"/>
  <c r="G40" i="57"/>
  <c r="P41" i="57"/>
  <c r="Q41" i="57" s="1"/>
  <c r="G44" i="57"/>
  <c r="N48" i="57"/>
  <c r="N52" i="57"/>
  <c r="P25" i="57"/>
  <c r="Q25" i="57" s="1"/>
  <c r="N5" i="57"/>
  <c r="M9" i="57"/>
  <c r="P9" i="57" s="1"/>
  <c r="Q9" i="57" s="1"/>
  <c r="P15" i="57"/>
  <c r="Q15" i="57" s="1"/>
  <c r="G18" i="57"/>
  <c r="P19" i="57"/>
  <c r="Q19" i="57" s="1"/>
  <c r="N44" i="57"/>
  <c r="G56" i="57"/>
  <c r="E58" i="57"/>
  <c r="G47" i="57"/>
  <c r="G49" i="57"/>
  <c r="G51" i="57"/>
  <c r="F58" i="57"/>
  <c r="N24" i="57"/>
  <c r="N28" i="57"/>
  <c r="G6" i="57"/>
  <c r="G4" i="57"/>
  <c r="G31" i="57"/>
  <c r="G33" i="57"/>
  <c r="G35" i="57"/>
  <c r="G37" i="57"/>
  <c r="P53" i="57"/>
  <c r="Q53" i="57" s="1"/>
  <c r="N8" i="57"/>
  <c r="N17" i="57"/>
  <c r="N23" i="57"/>
  <c r="N31" i="57"/>
  <c r="N39" i="57"/>
  <c r="N47" i="57"/>
  <c r="N56" i="57"/>
  <c r="N7" i="57"/>
  <c r="N16" i="57"/>
  <c r="N22" i="57"/>
  <c r="N30" i="57"/>
  <c r="N38" i="57"/>
  <c r="N46" i="57"/>
  <c r="N54" i="57"/>
  <c r="N4" i="57"/>
  <c r="N13" i="57"/>
  <c r="N21" i="57"/>
  <c r="N27" i="57"/>
  <c r="N35" i="57"/>
  <c r="N43" i="57"/>
  <c r="N51" i="57"/>
  <c r="P4" i="57"/>
  <c r="N12" i="57"/>
  <c r="N20" i="57"/>
  <c r="N26" i="57"/>
  <c r="N34" i="57"/>
  <c r="N42" i="57"/>
  <c r="N50" i="57"/>
  <c r="P37" i="56"/>
  <c r="Q37" i="56" s="1"/>
  <c r="P13" i="56"/>
  <c r="Q13" i="56" s="1"/>
  <c r="N23" i="56"/>
  <c r="N43" i="56"/>
  <c r="N40" i="56"/>
  <c r="N56" i="56"/>
  <c r="P52" i="56"/>
  <c r="Q52" i="56" s="1"/>
  <c r="P46" i="56"/>
  <c r="Q46" i="56" s="1"/>
  <c r="P41" i="56"/>
  <c r="Q41" i="56" s="1"/>
  <c r="N31" i="56"/>
  <c r="N28" i="56"/>
  <c r="P21" i="56"/>
  <c r="Q21" i="56" s="1"/>
  <c r="N26" i="56"/>
  <c r="G36" i="56"/>
  <c r="G42" i="56"/>
  <c r="N45" i="56"/>
  <c r="F58" i="56"/>
  <c r="G21" i="56"/>
  <c r="G23" i="56"/>
  <c r="N34" i="56"/>
  <c r="G27" i="56"/>
  <c r="G29" i="56"/>
  <c r="G31" i="56"/>
  <c r="N36" i="56"/>
  <c r="G48" i="56"/>
  <c r="P49" i="56"/>
  <c r="Q49" i="56" s="1"/>
  <c r="N51" i="56"/>
  <c r="N5" i="56"/>
  <c r="G15" i="56"/>
  <c r="G17" i="56"/>
  <c r="G39" i="56"/>
  <c r="P44" i="56"/>
  <c r="Q44" i="56" s="1"/>
  <c r="N48" i="56"/>
  <c r="G52" i="56"/>
  <c r="G11" i="56"/>
  <c r="P17" i="56"/>
  <c r="Q17" i="56" s="1"/>
  <c r="P27" i="56"/>
  <c r="Q27" i="56" s="1"/>
  <c r="P29" i="56"/>
  <c r="Q29" i="56" s="1"/>
  <c r="P15" i="56"/>
  <c r="Q15" i="56" s="1"/>
  <c r="G30" i="56"/>
  <c r="P35" i="56"/>
  <c r="Q35" i="56" s="1"/>
  <c r="G47" i="56"/>
  <c r="N20" i="56"/>
  <c r="N14" i="56"/>
  <c r="N12" i="56"/>
  <c r="N8" i="56"/>
  <c r="P6" i="56"/>
  <c r="Q6" i="56" s="1"/>
  <c r="M58" i="56"/>
  <c r="H61" i="56" s="1"/>
  <c r="N9" i="56"/>
  <c r="P9" i="56"/>
  <c r="Q9" i="56" s="1"/>
  <c r="P10" i="56"/>
  <c r="Q10" i="56" s="1"/>
  <c r="P18" i="56"/>
  <c r="Q18" i="56" s="1"/>
  <c r="P24" i="56"/>
  <c r="Q24" i="56" s="1"/>
  <c r="G5" i="56"/>
  <c r="N7" i="56"/>
  <c r="N16" i="56"/>
  <c r="N22" i="56"/>
  <c r="N30" i="56"/>
  <c r="N38" i="56"/>
  <c r="N39" i="56"/>
  <c r="N47" i="56"/>
  <c r="N55" i="56"/>
  <c r="N19" i="56"/>
  <c r="N54" i="56"/>
  <c r="N11" i="56"/>
  <c r="N53" i="56"/>
  <c r="K58" i="56"/>
  <c r="P32" i="56"/>
  <c r="Q32" i="56" s="1"/>
  <c r="N4" i="56"/>
  <c r="E58" i="56"/>
  <c r="Q4" i="56"/>
  <c r="N25" i="56"/>
  <c r="N33" i="56"/>
  <c r="N42" i="56"/>
  <c r="N50" i="56"/>
  <c r="K9" i="55"/>
  <c r="M9" i="55" s="1"/>
  <c r="G58" i="58" l="1"/>
  <c r="G58" i="59"/>
  <c r="G58" i="56"/>
  <c r="R59" i="61"/>
  <c r="G58" i="60"/>
  <c r="P58" i="60"/>
  <c r="N58" i="60"/>
  <c r="Q58" i="60"/>
  <c r="P58" i="59"/>
  <c r="Q4" i="59"/>
  <c r="Q58" i="59" s="1"/>
  <c r="N58" i="59"/>
  <c r="Q4" i="58"/>
  <c r="P14" i="58"/>
  <c r="Q14" i="58" s="1"/>
  <c r="N14" i="58"/>
  <c r="N58" i="58" s="1"/>
  <c r="M58" i="58"/>
  <c r="H61" i="58" s="1"/>
  <c r="G58" i="57"/>
  <c r="M58" i="57"/>
  <c r="H61" i="57" s="1"/>
  <c r="N9" i="57"/>
  <c r="N58" i="57" s="1"/>
  <c r="Q4" i="57"/>
  <c r="Q58" i="57" s="1"/>
  <c r="P58" i="57"/>
  <c r="N58" i="56"/>
  <c r="P58" i="56"/>
  <c r="Q58" i="56"/>
  <c r="M56" i="55"/>
  <c r="P56" i="55" s="1"/>
  <c r="Q56" i="55" s="1"/>
  <c r="F56" i="55"/>
  <c r="E56" i="55"/>
  <c r="G56" i="55" s="1"/>
  <c r="M55" i="55"/>
  <c r="P55" i="55" s="1"/>
  <c r="Q55" i="55" s="1"/>
  <c r="F55" i="55"/>
  <c r="E55" i="55"/>
  <c r="M54" i="55"/>
  <c r="N54" i="55" s="1"/>
  <c r="F54" i="55"/>
  <c r="E54" i="55"/>
  <c r="M53" i="55"/>
  <c r="P53" i="55" s="1"/>
  <c r="Q53" i="55" s="1"/>
  <c r="F53" i="55"/>
  <c r="E53" i="55"/>
  <c r="G53" i="55" s="1"/>
  <c r="H64" i="55"/>
  <c r="H63" i="55"/>
  <c r="L59" i="55"/>
  <c r="K59" i="55"/>
  <c r="J59" i="55"/>
  <c r="J61" i="55" s="1"/>
  <c r="I59" i="55"/>
  <c r="I61" i="55" s="1"/>
  <c r="H59" i="55"/>
  <c r="D59" i="55"/>
  <c r="C59" i="55"/>
  <c r="M57" i="55"/>
  <c r="P57" i="55" s="1"/>
  <c r="Q57" i="55" s="1"/>
  <c r="F57" i="55"/>
  <c r="E57" i="55"/>
  <c r="M52" i="55"/>
  <c r="P52" i="55" s="1"/>
  <c r="Q52" i="55" s="1"/>
  <c r="F52" i="55"/>
  <c r="E52" i="55"/>
  <c r="M51" i="55"/>
  <c r="P51" i="55" s="1"/>
  <c r="Q51" i="55" s="1"/>
  <c r="F51" i="55"/>
  <c r="E51" i="55"/>
  <c r="M50" i="55"/>
  <c r="N50" i="55" s="1"/>
  <c r="F50" i="55"/>
  <c r="E50" i="55"/>
  <c r="M49" i="55"/>
  <c r="N49" i="55" s="1"/>
  <c r="F49" i="55"/>
  <c r="E49" i="55"/>
  <c r="M48" i="55"/>
  <c r="P48" i="55" s="1"/>
  <c r="Q48" i="55" s="1"/>
  <c r="F48" i="55"/>
  <c r="E48" i="55"/>
  <c r="M47" i="55"/>
  <c r="N47" i="55" s="1"/>
  <c r="F47" i="55"/>
  <c r="E47" i="55"/>
  <c r="M46" i="55"/>
  <c r="N46" i="55" s="1"/>
  <c r="F46" i="55"/>
  <c r="E46" i="55"/>
  <c r="M45" i="55"/>
  <c r="P45" i="55" s="1"/>
  <c r="Q45" i="55" s="1"/>
  <c r="F45" i="55"/>
  <c r="E45" i="55"/>
  <c r="M44" i="55"/>
  <c r="P44" i="55" s="1"/>
  <c r="Q44" i="55" s="1"/>
  <c r="F44" i="55"/>
  <c r="E44" i="55"/>
  <c r="M43" i="55"/>
  <c r="P43" i="55" s="1"/>
  <c r="Q43" i="55" s="1"/>
  <c r="F43" i="55"/>
  <c r="E43" i="55"/>
  <c r="M42" i="55"/>
  <c r="N42" i="55" s="1"/>
  <c r="F42" i="55"/>
  <c r="E42" i="55"/>
  <c r="M41" i="55"/>
  <c r="P41" i="55" s="1"/>
  <c r="Q41" i="55" s="1"/>
  <c r="F41" i="55"/>
  <c r="E41" i="55"/>
  <c r="M40" i="55"/>
  <c r="P40" i="55" s="1"/>
  <c r="Q40" i="55" s="1"/>
  <c r="F40" i="55"/>
  <c r="E40" i="55"/>
  <c r="M39" i="55"/>
  <c r="N39" i="55" s="1"/>
  <c r="F39" i="55"/>
  <c r="E39" i="55"/>
  <c r="M38" i="55"/>
  <c r="N38" i="55" s="1"/>
  <c r="F38" i="55"/>
  <c r="E38" i="55"/>
  <c r="M37" i="55"/>
  <c r="N37" i="55" s="1"/>
  <c r="F37" i="55"/>
  <c r="E37" i="55"/>
  <c r="M36" i="55"/>
  <c r="P36" i="55" s="1"/>
  <c r="Q36" i="55" s="1"/>
  <c r="F36" i="55"/>
  <c r="E36" i="55"/>
  <c r="M35" i="55"/>
  <c r="P35" i="55" s="1"/>
  <c r="Q35" i="55" s="1"/>
  <c r="F35" i="55"/>
  <c r="E35" i="55"/>
  <c r="M34" i="55"/>
  <c r="N34" i="55" s="1"/>
  <c r="F34" i="55"/>
  <c r="E34" i="55"/>
  <c r="M33" i="55"/>
  <c r="P33" i="55" s="1"/>
  <c r="Q33" i="55" s="1"/>
  <c r="F33" i="55"/>
  <c r="E33" i="55"/>
  <c r="M32" i="55"/>
  <c r="P32" i="55" s="1"/>
  <c r="Q32" i="55" s="1"/>
  <c r="F32" i="55"/>
  <c r="E32" i="55"/>
  <c r="G32" i="55" s="1"/>
  <c r="M31" i="55"/>
  <c r="N31" i="55" s="1"/>
  <c r="F31" i="55"/>
  <c r="E31" i="55"/>
  <c r="M30" i="55"/>
  <c r="P30" i="55" s="1"/>
  <c r="Q30" i="55" s="1"/>
  <c r="F30" i="55"/>
  <c r="E30" i="55"/>
  <c r="M29" i="55"/>
  <c r="N29" i="55" s="1"/>
  <c r="F29" i="55"/>
  <c r="E29" i="55"/>
  <c r="M28" i="55"/>
  <c r="P28" i="55" s="1"/>
  <c r="Q28" i="55" s="1"/>
  <c r="F28" i="55"/>
  <c r="E28" i="55"/>
  <c r="M27" i="55"/>
  <c r="P27" i="55" s="1"/>
  <c r="Q27" i="55" s="1"/>
  <c r="F27" i="55"/>
  <c r="E27" i="55"/>
  <c r="M26" i="55"/>
  <c r="N26" i="55" s="1"/>
  <c r="F26" i="55"/>
  <c r="E26" i="55"/>
  <c r="M25" i="55"/>
  <c r="P25" i="55" s="1"/>
  <c r="Q25" i="55" s="1"/>
  <c r="F25" i="55"/>
  <c r="E25" i="55"/>
  <c r="M24" i="55"/>
  <c r="P24" i="55" s="1"/>
  <c r="Q24" i="55" s="1"/>
  <c r="F24" i="55"/>
  <c r="E24" i="55"/>
  <c r="M23" i="55"/>
  <c r="N23" i="55" s="1"/>
  <c r="F23" i="55"/>
  <c r="E23" i="55"/>
  <c r="M22" i="55"/>
  <c r="P22" i="55" s="1"/>
  <c r="Q22" i="55" s="1"/>
  <c r="F22" i="55"/>
  <c r="E22" i="55"/>
  <c r="N21" i="55"/>
  <c r="F21" i="55"/>
  <c r="E21" i="55"/>
  <c r="M20" i="55"/>
  <c r="P20" i="55" s="1"/>
  <c r="Q20" i="55" s="1"/>
  <c r="F20" i="55"/>
  <c r="E20" i="55"/>
  <c r="M19" i="55"/>
  <c r="P19" i="55" s="1"/>
  <c r="Q19" i="55" s="1"/>
  <c r="F19" i="55"/>
  <c r="E19" i="55"/>
  <c r="M18" i="55"/>
  <c r="N18" i="55" s="1"/>
  <c r="F18" i="55"/>
  <c r="E18" i="55"/>
  <c r="M17" i="55"/>
  <c r="P17" i="55" s="1"/>
  <c r="Q17" i="55" s="1"/>
  <c r="F17" i="55"/>
  <c r="E17" i="55"/>
  <c r="M16" i="55"/>
  <c r="P16" i="55" s="1"/>
  <c r="Q16" i="55" s="1"/>
  <c r="F16" i="55"/>
  <c r="E16" i="55"/>
  <c r="M15" i="55"/>
  <c r="N15" i="55" s="1"/>
  <c r="F15" i="55"/>
  <c r="E15" i="55"/>
  <c r="M14" i="55"/>
  <c r="P14" i="55" s="1"/>
  <c r="Q14" i="55" s="1"/>
  <c r="F14" i="55"/>
  <c r="E14" i="55"/>
  <c r="M13" i="55"/>
  <c r="N13" i="55" s="1"/>
  <c r="F13" i="55"/>
  <c r="E13" i="55"/>
  <c r="M12" i="55"/>
  <c r="P12" i="55" s="1"/>
  <c r="Q12" i="55" s="1"/>
  <c r="F12" i="55"/>
  <c r="E12" i="55"/>
  <c r="M11" i="55"/>
  <c r="P11" i="55" s="1"/>
  <c r="Q11" i="55" s="1"/>
  <c r="F11" i="55"/>
  <c r="E11" i="55"/>
  <c r="M10" i="55"/>
  <c r="N10" i="55" s="1"/>
  <c r="F10" i="55"/>
  <c r="E10" i="55"/>
  <c r="P9" i="55"/>
  <c r="Q9" i="55" s="1"/>
  <c r="F9" i="55"/>
  <c r="E9" i="55"/>
  <c r="M8" i="55"/>
  <c r="P8" i="55" s="1"/>
  <c r="Q8" i="55" s="1"/>
  <c r="F8" i="55"/>
  <c r="E8" i="55"/>
  <c r="M7" i="55"/>
  <c r="N7" i="55" s="1"/>
  <c r="F7" i="55"/>
  <c r="E7" i="55"/>
  <c r="M6" i="55"/>
  <c r="P6" i="55" s="1"/>
  <c r="Q6" i="55" s="1"/>
  <c r="F6" i="55"/>
  <c r="E6" i="55"/>
  <c r="M5" i="55"/>
  <c r="N5" i="55" s="1"/>
  <c r="F5" i="55"/>
  <c r="E5" i="55"/>
  <c r="M4" i="55"/>
  <c r="P4" i="55" s="1"/>
  <c r="Q4" i="55" s="1"/>
  <c r="F4" i="55"/>
  <c r="E4" i="55"/>
  <c r="M43" i="54"/>
  <c r="P43" i="54" s="1"/>
  <c r="Q43" i="54" s="1"/>
  <c r="H60" i="54"/>
  <c r="H59" i="54"/>
  <c r="H61" i="54" s="1"/>
  <c r="L55" i="54"/>
  <c r="K55" i="54"/>
  <c r="J55" i="54"/>
  <c r="J57" i="54" s="1"/>
  <c r="I55" i="54"/>
  <c r="I57" i="54" s="1"/>
  <c r="H55" i="54"/>
  <c r="D55" i="54"/>
  <c r="C55" i="54"/>
  <c r="M53" i="54"/>
  <c r="P53" i="54" s="1"/>
  <c r="Q53" i="54" s="1"/>
  <c r="F53" i="54"/>
  <c r="E53" i="54"/>
  <c r="M52" i="54"/>
  <c r="N52" i="54" s="1"/>
  <c r="F52" i="54"/>
  <c r="E52" i="54"/>
  <c r="M51" i="54"/>
  <c r="P51" i="54" s="1"/>
  <c r="Q51" i="54" s="1"/>
  <c r="F51" i="54"/>
  <c r="E51" i="54"/>
  <c r="M50" i="54"/>
  <c r="N50" i="54" s="1"/>
  <c r="F50" i="54"/>
  <c r="E50" i="54"/>
  <c r="M49" i="54"/>
  <c r="P49" i="54" s="1"/>
  <c r="Q49" i="54" s="1"/>
  <c r="F49" i="54"/>
  <c r="E49" i="54"/>
  <c r="M48" i="54"/>
  <c r="P48" i="54" s="1"/>
  <c r="Q48" i="54" s="1"/>
  <c r="F48" i="54"/>
  <c r="E48" i="54"/>
  <c r="M47" i="54"/>
  <c r="P47" i="54" s="1"/>
  <c r="Q47" i="54" s="1"/>
  <c r="F47" i="54"/>
  <c r="E47" i="54"/>
  <c r="M46" i="54"/>
  <c r="P46" i="54" s="1"/>
  <c r="Q46" i="54" s="1"/>
  <c r="F46" i="54"/>
  <c r="E46" i="54"/>
  <c r="M45" i="54"/>
  <c r="P45" i="54" s="1"/>
  <c r="Q45" i="54" s="1"/>
  <c r="F45" i="54"/>
  <c r="E45" i="54"/>
  <c r="M44" i="54"/>
  <c r="N44" i="54" s="1"/>
  <c r="F44" i="54"/>
  <c r="E44" i="54"/>
  <c r="F43" i="54"/>
  <c r="E43" i="54"/>
  <c r="M42" i="54"/>
  <c r="P42" i="54" s="1"/>
  <c r="Q42" i="54" s="1"/>
  <c r="F42" i="54"/>
  <c r="E42" i="54"/>
  <c r="M41" i="54"/>
  <c r="P41" i="54" s="1"/>
  <c r="Q41" i="54" s="1"/>
  <c r="F41" i="54"/>
  <c r="E41" i="54"/>
  <c r="M40" i="54"/>
  <c r="N40" i="54" s="1"/>
  <c r="F40" i="54"/>
  <c r="E40" i="54"/>
  <c r="M39" i="54"/>
  <c r="P39" i="54" s="1"/>
  <c r="Q39" i="54" s="1"/>
  <c r="F39" i="54"/>
  <c r="E39" i="54"/>
  <c r="M38" i="54"/>
  <c r="P38" i="54" s="1"/>
  <c r="Q38" i="54" s="1"/>
  <c r="F38" i="54"/>
  <c r="E38" i="54"/>
  <c r="M37" i="54"/>
  <c r="P37" i="54" s="1"/>
  <c r="Q37" i="54" s="1"/>
  <c r="F37" i="54"/>
  <c r="E37" i="54"/>
  <c r="M36" i="54"/>
  <c r="P36" i="54" s="1"/>
  <c r="Q36" i="54" s="1"/>
  <c r="F36" i="54"/>
  <c r="E36" i="54"/>
  <c r="G36" i="54" s="1"/>
  <c r="M35" i="54"/>
  <c r="N35" i="54" s="1"/>
  <c r="F35" i="54"/>
  <c r="E35" i="54"/>
  <c r="M34" i="54"/>
  <c r="P34" i="54" s="1"/>
  <c r="Q34" i="54" s="1"/>
  <c r="F34" i="54"/>
  <c r="E34" i="54"/>
  <c r="M33" i="54"/>
  <c r="N33" i="54" s="1"/>
  <c r="F33" i="54"/>
  <c r="E33" i="54"/>
  <c r="M32" i="54"/>
  <c r="N32" i="54" s="1"/>
  <c r="F32" i="54"/>
  <c r="E32" i="54"/>
  <c r="G32" i="54" s="1"/>
  <c r="M31" i="54"/>
  <c r="P31" i="54" s="1"/>
  <c r="Q31" i="54" s="1"/>
  <c r="F31" i="54"/>
  <c r="E31" i="54"/>
  <c r="M30" i="54"/>
  <c r="N30" i="54" s="1"/>
  <c r="F30" i="54"/>
  <c r="E30" i="54"/>
  <c r="M29" i="54"/>
  <c r="P29" i="54" s="1"/>
  <c r="Q29" i="54" s="1"/>
  <c r="F29" i="54"/>
  <c r="E29" i="54"/>
  <c r="M28" i="54"/>
  <c r="P28" i="54" s="1"/>
  <c r="Q28" i="54" s="1"/>
  <c r="F28" i="54"/>
  <c r="E28" i="54"/>
  <c r="G28" i="54" s="1"/>
  <c r="M27" i="54"/>
  <c r="N27" i="54" s="1"/>
  <c r="F27" i="54"/>
  <c r="E27" i="54"/>
  <c r="M26" i="54"/>
  <c r="P26" i="54" s="1"/>
  <c r="Q26" i="54" s="1"/>
  <c r="F26" i="54"/>
  <c r="E26" i="54"/>
  <c r="M25" i="54"/>
  <c r="N25" i="54" s="1"/>
  <c r="F25" i="54"/>
  <c r="E25" i="54"/>
  <c r="M24" i="54"/>
  <c r="N24" i="54" s="1"/>
  <c r="F24" i="54"/>
  <c r="E24" i="54"/>
  <c r="G24" i="54" s="1"/>
  <c r="M23" i="54"/>
  <c r="P23" i="54" s="1"/>
  <c r="Q23" i="54" s="1"/>
  <c r="F23" i="54"/>
  <c r="E23" i="54"/>
  <c r="M22" i="54"/>
  <c r="P22" i="54" s="1"/>
  <c r="Q22" i="54" s="1"/>
  <c r="F22" i="54"/>
  <c r="E22" i="54"/>
  <c r="M21" i="54"/>
  <c r="P21" i="54" s="1"/>
  <c r="Q21" i="54" s="1"/>
  <c r="F21" i="54"/>
  <c r="E21" i="54"/>
  <c r="M20" i="54"/>
  <c r="P20" i="54" s="1"/>
  <c r="Q20" i="54" s="1"/>
  <c r="F20" i="54"/>
  <c r="E20" i="54"/>
  <c r="G20" i="54" s="1"/>
  <c r="M19" i="54"/>
  <c r="P19" i="54" s="1"/>
  <c r="Q19" i="54" s="1"/>
  <c r="F19" i="54"/>
  <c r="E19" i="54"/>
  <c r="M18" i="54"/>
  <c r="P18" i="54" s="1"/>
  <c r="Q18" i="54" s="1"/>
  <c r="F18" i="54"/>
  <c r="E18" i="54"/>
  <c r="M17" i="54"/>
  <c r="N17" i="54" s="1"/>
  <c r="F17" i="54"/>
  <c r="E17" i="54"/>
  <c r="M16" i="54"/>
  <c r="P16" i="54" s="1"/>
  <c r="Q16" i="54" s="1"/>
  <c r="F16" i="54"/>
  <c r="E16" i="54"/>
  <c r="M15" i="54"/>
  <c r="P15" i="54" s="1"/>
  <c r="Q15" i="54" s="1"/>
  <c r="F15" i="54"/>
  <c r="E15" i="54"/>
  <c r="M14" i="54"/>
  <c r="P14" i="54" s="1"/>
  <c r="Q14" i="54" s="1"/>
  <c r="F14" i="54"/>
  <c r="E14" i="54"/>
  <c r="M13" i="54"/>
  <c r="P13" i="54" s="1"/>
  <c r="Q13" i="54" s="1"/>
  <c r="F13" i="54"/>
  <c r="E13" i="54"/>
  <c r="M12" i="54"/>
  <c r="P12" i="54" s="1"/>
  <c r="Q12" i="54" s="1"/>
  <c r="F12" i="54"/>
  <c r="E12" i="54"/>
  <c r="G12" i="54" s="1"/>
  <c r="M11" i="54"/>
  <c r="N11" i="54" s="1"/>
  <c r="F11" i="54"/>
  <c r="E11" i="54"/>
  <c r="M10" i="54"/>
  <c r="P10" i="54" s="1"/>
  <c r="Q10" i="54" s="1"/>
  <c r="F10" i="54"/>
  <c r="E10" i="54"/>
  <c r="M9" i="54"/>
  <c r="N9" i="54" s="1"/>
  <c r="F9" i="54"/>
  <c r="E9" i="54"/>
  <c r="M8" i="54"/>
  <c r="N8" i="54" s="1"/>
  <c r="F8" i="54"/>
  <c r="E8" i="54"/>
  <c r="G8" i="54" s="1"/>
  <c r="M7" i="54"/>
  <c r="P7" i="54" s="1"/>
  <c r="Q7" i="54" s="1"/>
  <c r="F7" i="54"/>
  <c r="E7" i="54"/>
  <c r="M6" i="54"/>
  <c r="P6" i="54" s="1"/>
  <c r="Q6" i="54" s="1"/>
  <c r="F6" i="54"/>
  <c r="E6" i="54"/>
  <c r="M5" i="54"/>
  <c r="P5" i="54" s="1"/>
  <c r="Q5" i="54" s="1"/>
  <c r="F5" i="54"/>
  <c r="E5" i="54"/>
  <c r="M4" i="54"/>
  <c r="F4" i="54"/>
  <c r="E4" i="54"/>
  <c r="G4" i="54" s="1"/>
  <c r="G5" i="54" l="1"/>
  <c r="G9" i="54"/>
  <c r="G52" i="54"/>
  <c r="G47" i="54"/>
  <c r="G51" i="54"/>
  <c r="G34" i="55"/>
  <c r="R58" i="60"/>
  <c r="R58" i="59"/>
  <c r="Q58" i="58"/>
  <c r="R58" i="58" s="1"/>
  <c r="P58" i="58"/>
  <c r="R58" i="57"/>
  <c r="R58" i="56"/>
  <c r="G23" i="55"/>
  <c r="G47" i="55"/>
  <c r="G55" i="55"/>
  <c r="G41" i="55"/>
  <c r="G44" i="55"/>
  <c r="G7" i="55"/>
  <c r="G50" i="55"/>
  <c r="G54" i="55"/>
  <c r="P37" i="55"/>
  <c r="Q37" i="55" s="1"/>
  <c r="N53" i="55"/>
  <c r="P54" i="55"/>
  <c r="Q54" i="55" s="1"/>
  <c r="N55" i="55"/>
  <c r="N56" i="55"/>
  <c r="G18" i="55"/>
  <c r="G39" i="55"/>
  <c r="N44" i="55"/>
  <c r="G45" i="55"/>
  <c r="G51" i="55"/>
  <c r="P21" i="55"/>
  <c r="Q21" i="55" s="1"/>
  <c r="N41" i="55"/>
  <c r="N9" i="55"/>
  <c r="G27" i="55"/>
  <c r="P46" i="55"/>
  <c r="Q46" i="55" s="1"/>
  <c r="G49" i="55"/>
  <c r="G52" i="55"/>
  <c r="N4" i="55"/>
  <c r="N12" i="55"/>
  <c r="G15" i="55"/>
  <c r="G33" i="55"/>
  <c r="N25" i="55"/>
  <c r="G48" i="55"/>
  <c r="P29" i="55"/>
  <c r="Q29" i="55" s="1"/>
  <c r="N36" i="55"/>
  <c r="G43" i="55"/>
  <c r="P49" i="55"/>
  <c r="Q49" i="55" s="1"/>
  <c r="P13" i="55"/>
  <c r="Q13" i="55" s="1"/>
  <c r="N20" i="55"/>
  <c r="P34" i="55"/>
  <c r="Q34" i="55" s="1"/>
  <c r="N17" i="55"/>
  <c r="G38" i="55"/>
  <c r="P42" i="55"/>
  <c r="Q42" i="55" s="1"/>
  <c r="G28" i="55"/>
  <c r="G30" i="55"/>
  <c r="G35" i="55"/>
  <c r="G57" i="55"/>
  <c r="G10" i="55"/>
  <c r="G26" i="55"/>
  <c r="G31" i="55"/>
  <c r="G42" i="55"/>
  <c r="H65" i="55"/>
  <c r="G29" i="55"/>
  <c r="F59" i="55"/>
  <c r="G46" i="55"/>
  <c r="G6" i="55"/>
  <c r="G14" i="55"/>
  <c r="G22" i="55"/>
  <c r="G36" i="55"/>
  <c r="G9" i="55"/>
  <c r="P10" i="55"/>
  <c r="Q10" i="55" s="1"/>
  <c r="G17" i="55"/>
  <c r="P18" i="55"/>
  <c r="Q18" i="55" s="1"/>
  <c r="G25" i="55"/>
  <c r="P26" i="55"/>
  <c r="Q26" i="55" s="1"/>
  <c r="N28" i="55"/>
  <c r="G5" i="55"/>
  <c r="G11" i="55"/>
  <c r="G13" i="55"/>
  <c r="G19" i="55"/>
  <c r="G21" i="55"/>
  <c r="G40" i="55"/>
  <c r="P50" i="55"/>
  <c r="Q50" i="55" s="1"/>
  <c r="N45" i="55"/>
  <c r="N33" i="55"/>
  <c r="G37" i="55"/>
  <c r="P38" i="55"/>
  <c r="Q38" i="55" s="1"/>
  <c r="E59" i="55"/>
  <c r="P5" i="55"/>
  <c r="Q5" i="55" s="1"/>
  <c r="G8" i="55"/>
  <c r="G12" i="55"/>
  <c r="G16" i="55"/>
  <c r="G20" i="55"/>
  <c r="G24" i="55"/>
  <c r="N16" i="55"/>
  <c r="N24" i="55"/>
  <c r="N32" i="55"/>
  <c r="G4" i="55"/>
  <c r="N6" i="55"/>
  <c r="P7" i="55"/>
  <c r="Q7" i="55" s="1"/>
  <c r="N14" i="55"/>
  <c r="P15" i="55"/>
  <c r="Q15" i="55" s="1"/>
  <c r="N22" i="55"/>
  <c r="P23" i="55"/>
  <c r="Q23" i="55" s="1"/>
  <c r="N30" i="55"/>
  <c r="P31" i="55"/>
  <c r="Q31" i="55" s="1"/>
  <c r="P39" i="55"/>
  <c r="Q39" i="55" s="1"/>
  <c r="P47" i="55"/>
  <c r="Q47" i="55" s="1"/>
  <c r="N8" i="55"/>
  <c r="N48" i="55"/>
  <c r="N57" i="55"/>
  <c r="N52" i="55"/>
  <c r="N43" i="55"/>
  <c r="N51" i="55"/>
  <c r="N11" i="55"/>
  <c r="N19" i="55"/>
  <c r="N27" i="55"/>
  <c r="N35" i="55"/>
  <c r="N40" i="55"/>
  <c r="M59" i="55"/>
  <c r="H62" i="55" s="1"/>
  <c r="G37" i="54"/>
  <c r="G14" i="54"/>
  <c r="G18" i="54"/>
  <c r="G22" i="54"/>
  <c r="G26" i="54"/>
  <c r="G30" i="54"/>
  <c r="G38" i="54"/>
  <c r="G45" i="54"/>
  <c r="G49" i="54"/>
  <c r="G13" i="54"/>
  <c r="G40" i="54"/>
  <c r="G6" i="54"/>
  <c r="G10" i="54"/>
  <c r="G15" i="54"/>
  <c r="G31" i="54"/>
  <c r="G39" i="54"/>
  <c r="G43" i="54"/>
  <c r="G53" i="54"/>
  <c r="G50" i="54"/>
  <c r="G7" i="54"/>
  <c r="G17" i="54"/>
  <c r="G21" i="54"/>
  <c r="G29" i="54"/>
  <c r="G33" i="54"/>
  <c r="G42" i="54"/>
  <c r="G44" i="54"/>
  <c r="N45" i="54"/>
  <c r="G46" i="54"/>
  <c r="N48" i="54"/>
  <c r="E55" i="54"/>
  <c r="F55" i="54"/>
  <c r="N14" i="54"/>
  <c r="P8" i="54"/>
  <c r="Q8" i="54" s="1"/>
  <c r="G35" i="54"/>
  <c r="G11" i="54"/>
  <c r="G27" i="54"/>
  <c r="P33" i="54"/>
  <c r="Q33" i="54" s="1"/>
  <c r="G41" i="54"/>
  <c r="G19" i="54"/>
  <c r="P30" i="54"/>
  <c r="Q30" i="54" s="1"/>
  <c r="P24" i="54"/>
  <c r="Q24" i="54" s="1"/>
  <c r="G16" i="54"/>
  <c r="G23" i="54"/>
  <c r="G25" i="54"/>
  <c r="G34" i="54"/>
  <c r="G48" i="54"/>
  <c r="P17" i="54"/>
  <c r="Q17" i="54" s="1"/>
  <c r="N47" i="54"/>
  <c r="M55" i="54"/>
  <c r="H58" i="54" s="1"/>
  <c r="N6" i="54"/>
  <c r="P9" i="54"/>
  <c r="Q9" i="54" s="1"/>
  <c r="N22" i="54"/>
  <c r="P25" i="54"/>
  <c r="Q25" i="54" s="1"/>
  <c r="P40" i="54"/>
  <c r="Q40" i="54" s="1"/>
  <c r="N7" i="54"/>
  <c r="N23" i="54"/>
  <c r="N15" i="54"/>
  <c r="N31" i="54"/>
  <c r="N46" i="54"/>
  <c r="N53" i="54"/>
  <c r="P32" i="54"/>
  <c r="Q32" i="54" s="1"/>
  <c r="N39" i="54"/>
  <c r="N38" i="54"/>
  <c r="N16" i="54"/>
  <c r="N29" i="54"/>
  <c r="N37" i="54"/>
  <c r="N4" i="54"/>
  <c r="N36" i="54"/>
  <c r="N43" i="54"/>
  <c r="P44" i="54"/>
  <c r="Q44" i="54" s="1"/>
  <c r="N51" i="54"/>
  <c r="P52" i="54"/>
  <c r="Q52" i="54" s="1"/>
  <c r="N5" i="54"/>
  <c r="N13" i="54"/>
  <c r="N21" i="54"/>
  <c r="N12" i="54"/>
  <c r="N28" i="54"/>
  <c r="P4" i="54"/>
  <c r="N19" i="54"/>
  <c r="N42" i="54"/>
  <c r="N10" i="54"/>
  <c r="P11" i="54"/>
  <c r="Q11" i="54" s="1"/>
  <c r="N18" i="54"/>
  <c r="N26" i="54"/>
  <c r="P27" i="54"/>
  <c r="Q27" i="54" s="1"/>
  <c r="N34" i="54"/>
  <c r="P35" i="54"/>
  <c r="Q35" i="54" s="1"/>
  <c r="N41" i="54"/>
  <c r="N49" i="54"/>
  <c r="P50" i="54"/>
  <c r="Q50" i="54" s="1"/>
  <c r="N20" i="54"/>
  <c r="Q59" i="55" l="1"/>
  <c r="G59" i="55"/>
  <c r="N59" i="55"/>
  <c r="P59" i="55"/>
  <c r="G55" i="54"/>
  <c r="Q4" i="54"/>
  <c r="Q55" i="54" s="1"/>
  <c r="P55" i="54"/>
  <c r="N55" i="54"/>
  <c r="R59" i="55" l="1"/>
  <c r="N4" i="69" l="1"/>
  <c r="N56" i="69" s="1"/>
  <c r="M56" i="69"/>
  <c r="P4" i="69"/>
  <c r="Q4" i="69" s="1"/>
  <c r="H59" i="69" l="1"/>
  <c r="L65" i="70"/>
  <c r="N65" i="70" s="1"/>
  <c r="Q56" i="69"/>
  <c r="L66" i="70" s="1"/>
  <c r="N66" i="70" s="1"/>
  <c r="U4" i="70"/>
  <c r="U56" i="70" s="1"/>
  <c r="P56" i="69"/>
  <c r="R56" i="69" l="1"/>
  <c r="F65" i="91"/>
  <c r="G65" i="9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AuxContabilidad</author>
  </authors>
  <commentList>
    <comment ref="K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de INFONAVIT 
</t>
        </r>
      </text>
    </comment>
    <comment ref="K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VAC ADELANTADAS 3/7</t>
        </r>
      </text>
    </comment>
    <comment ref="K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23/25 
+ 257.74 préstamo FONACOT </t>
        </r>
      </text>
    </comment>
    <comment ref="K1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30/12 PSG
</t>
        </r>
      </text>
    </comment>
    <comment ref="L17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19" authorId="1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Se le deja como descuento la totalidad del credito infonavit
</t>
        </r>
      </text>
    </comment>
    <comment ref="K2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22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16/40</t>
        </r>
      </text>
    </comment>
    <comment ref="K25" authorId="2" shapeId="0" xr:uid="{00000000-0006-0000-0000-000009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L25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26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27/12 al 60%</t>
        </r>
      </text>
    </comment>
    <comment ref="L26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1 día de vacaciones</t>
        </r>
      </text>
    </comment>
    <comment ref="K3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26/12 al 60%</t>
        </r>
      </text>
    </comment>
    <comment ref="L34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6 días de vacaciones</t>
        </r>
      </text>
    </comment>
    <comment ref="L38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días de vacaciones</t>
        </r>
      </text>
    </comment>
    <comment ref="K39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40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</t>
        </r>
      </text>
    </comment>
    <comment ref="L42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</t>
        </r>
      </text>
    </comment>
    <comment ref="K46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AuxContabilidad</author>
    <author>Auxiliar de RH 1</author>
    <author>Dell</author>
    <author>tc={9A4E796A-7536-420B-96A1-31C0E8B277B3}</author>
  </authors>
  <commentList>
    <comment ref="K6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Pago de préstamo
</t>
        </r>
      </text>
    </comment>
    <comment ref="K9" authorId="1" shapeId="0" xr:uid="{00000000-0006-0000-0900-000002000000}">
      <text>
        <r>
          <rPr>
            <sz val="9"/>
            <color indexed="81"/>
            <rFont val="Tahoma"/>
            <family val="2"/>
          </rPr>
          <t>Préstamo FONACOT + dscto B.P y B.A 419.88</t>
        </r>
      </text>
    </comment>
    <comment ref="L9" authorId="1" shapeId="0" xr:uid="{00000000-0006-0000-09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14" authorId="1" shapeId="0" xr:uid="{00000000-0006-0000-09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6" authorId="1" shapeId="0" xr:uid="{00000000-0006-0000-09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9" authorId="2" shapeId="0" xr:uid="{00000000-0006-0000-0900-000006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1" authorId="1" shapeId="0" xr:uid="{00000000-0006-0000-09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25/40</t>
        </r>
      </text>
    </comment>
    <comment ref="K23" authorId="1" shapeId="0" xr:uid="{00000000-0006-0000-09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K37" authorId="1" shapeId="0" xr:uid="{00000000-0006-0000-09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8" authorId="1" shapeId="0" xr:uid="{00000000-0006-0000-09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</t>
        </r>
      </text>
    </comment>
    <comment ref="K40" authorId="1" shapeId="0" xr:uid="{00000000-0006-0000-09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03/03 al 60%</t>
        </r>
      </text>
    </comment>
    <comment ref="K41" authorId="1" shapeId="0" xr:uid="{00000000-0006-0000-09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03/03 falta injustificada + 489.86 dscto B.P y B.A</t>
        </r>
      </text>
    </comment>
    <comment ref="K44" authorId="3" shapeId="0" xr:uid="{00000000-0006-0000-0900-00000D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INCAPACIDAD
</t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tc={AA9CCCA2-ED2B-44F6-B9C4-FE9634F8A390}</author>
    <author>tc={70B53C4D-B8F3-4AFD-ABE3-0A901BD5DBCE}</author>
  </authors>
  <commentList>
    <comment ref="L6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6 días de vacaciones</t>
        </r>
      </text>
    </comment>
    <comment ref="K9" authorId="0" shapeId="0" xr:uid="{00000000-0006-0000-0A00-000002000000}">
      <text>
        <r>
          <rPr>
            <sz val="9"/>
            <color indexed="81"/>
            <rFont val="Tahoma"/>
            <family val="2"/>
          </rPr>
          <t>Préstamo FONACOT</t>
        </r>
      </text>
    </comment>
    <comment ref="L13" authorId="0" shapeId="0" xr:uid="{00000000-0006-0000-0A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días de vacaciones</t>
        </r>
      </text>
    </comment>
    <comment ref="K14" authorId="0" shapeId="0" xr:uid="{00000000-0006-0000-0A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7" authorId="0" shapeId="0" xr:uid="{00000000-0006-0000-0A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8" authorId="0" shapeId="0" xr:uid="{00000000-0006-0000-0A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11/03 al 60% + dscto B.P 281.67</t>
        </r>
      </text>
    </comment>
    <comment ref="K19" authorId="1" shapeId="0" xr:uid="{00000000-0006-0000-0A00-000007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L19" authorId="0" shapeId="0" xr:uid="{00000000-0006-0000-0A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días de vacaciones</t>
        </r>
      </text>
    </comment>
    <comment ref="K20" authorId="0" shapeId="0" xr:uid="{00000000-0006-0000-0A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10/03 F.I</t>
        </r>
      </text>
    </comment>
    <comment ref="K21" authorId="0" shapeId="0" xr:uid="{00000000-0006-0000-0A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26/40</t>
        </r>
      </text>
    </comment>
    <comment ref="L21" authorId="0" shapeId="0" xr:uid="{00000000-0006-0000-0A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días de vacaciones</t>
        </r>
      </text>
    </comment>
    <comment ref="K23" authorId="0" shapeId="0" xr:uid="{00000000-0006-0000-0A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K30" authorId="0" shapeId="0" xr:uid="{00000000-0006-0000-0A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31" authorId="0" shapeId="0" xr:uid="{00000000-0006-0000-0A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37" authorId="0" shapeId="0" xr:uid="{00000000-0006-0000-0A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8" authorId="0" shapeId="0" xr:uid="{00000000-0006-0000-0A00-000010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</t>
        </r>
      </text>
    </comment>
    <comment ref="L38" authorId="0" shapeId="0" xr:uid="{00000000-0006-0000-0A00-00001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40" authorId="0" shapeId="0" xr:uid="{00000000-0006-0000-0A00-00001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41" authorId="0" shapeId="0" xr:uid="{00000000-0006-0000-0A00-00001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4" authorId="2" shapeId="0" xr:uid="{00000000-0006-0000-0A00-000014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INCAPACIDAD
</t>
      </text>
    </comment>
    <comment ref="L53" authorId="0" shapeId="0" xr:uid="{00000000-0006-0000-0A00-00001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reclutamiento</t>
        </r>
      </text>
    </comment>
    <comment ref="L54" authorId="3" shapeId="0" xr:uid="{00000000-0006-0000-0A00-000016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Bono reclutador</t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tc={A74C7299-2E36-4A3A-A6BA-136C9C20AD60}</author>
    <author>Dell</author>
  </authors>
  <commentList>
    <comment ref="K6" authorId="0" shapeId="0" xr:uid="{00000000-0006-0000-0B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Keralty</t>
        </r>
      </text>
    </comment>
    <comment ref="K8" authorId="0" shapeId="0" xr:uid="{00000000-0006-0000-0B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Keralty</t>
        </r>
      </text>
    </comment>
    <comment ref="L8" authorId="0" shapeId="0" xr:uid="{00000000-0006-0000-0B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9" authorId="0" shapeId="0" xr:uid="{00000000-0006-0000-0B00-000004000000}">
      <text>
        <r>
          <rPr>
            <sz val="9"/>
            <color indexed="81"/>
            <rFont val="Tahoma"/>
            <family val="2"/>
          </rPr>
          <t>Préstamo FONACOT + 1200 keralty</t>
        </r>
      </text>
    </comment>
    <comment ref="K11" authorId="0" shapeId="0" xr:uid="{00000000-0006-0000-0B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Keralty</t>
        </r>
      </text>
    </comment>
    <comment ref="K12" authorId="0" shapeId="0" xr:uid="{00000000-0006-0000-0B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Keralty</t>
        </r>
      </text>
    </comment>
    <comment ref="K14" authorId="0" shapeId="0" xr:uid="{00000000-0006-0000-0B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14" authorId="0" shapeId="0" xr:uid="{00000000-0006-0000-0B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15" authorId="0" shapeId="0" xr:uid="{00000000-0006-0000-0B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Keralty</t>
        </r>
      </text>
    </comment>
    <comment ref="L18" authorId="1" shapeId="0" xr:uid="{00000000-0006-0000-0B00-00000A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Reembolso por concepto de estacionamientos del día 14 de marzo 2025.
</t>
      </text>
    </comment>
    <comment ref="K19" authorId="2" shapeId="0" xr:uid="{00000000-0006-0000-0B00-00000B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0" authorId="0" shapeId="0" xr:uid="{00000000-0006-0000-0B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Keralty</t>
        </r>
      </text>
    </comment>
    <comment ref="K21" authorId="0" shapeId="0" xr:uid="{00000000-0006-0000-0B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27/40 + F.I 19/03</t>
        </r>
      </text>
    </comment>
    <comment ref="K23" authorId="0" shapeId="0" xr:uid="{00000000-0006-0000-0B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K24" authorId="0" shapeId="0" xr:uid="{00000000-0006-0000-0B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Keralty</t>
        </r>
      </text>
    </comment>
    <comment ref="K29" authorId="0" shapeId="0" xr:uid="{00000000-0006-0000-0B00-000010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F.I. 19/03 $1253.57 + DSCTO B.P 244.93 + 600 dscto keralty</t>
        </r>
      </text>
    </comment>
    <comment ref="K32" authorId="0" shapeId="0" xr:uid="{00000000-0006-0000-0B00-00001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Keralty</t>
        </r>
      </text>
    </comment>
    <comment ref="K34" authorId="0" shapeId="0" xr:uid="{00000000-0006-0000-0B00-00001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Keralty</t>
        </r>
      </text>
    </comment>
    <comment ref="L34" authorId="0" shapeId="0" xr:uid="{00000000-0006-0000-0B00-00001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36" authorId="0" shapeId="0" xr:uid="{00000000-0006-0000-0B00-00001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Keralty</t>
        </r>
      </text>
    </comment>
    <comment ref="K37" authorId="0" shapeId="0" xr:uid="{00000000-0006-0000-0B00-00001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keralty 300</t>
        </r>
      </text>
    </comment>
    <comment ref="K38" authorId="0" shapeId="0" xr:uid="{00000000-0006-0000-0B00-00001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keralty 300</t>
        </r>
      </text>
    </comment>
    <comment ref="K40" authorId="0" shapeId="0" xr:uid="{00000000-0006-0000-0B00-00001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 + dscto keralty 900</t>
        </r>
      </text>
    </comment>
    <comment ref="K41" authorId="0" shapeId="0" xr:uid="{00000000-0006-0000-0B00-00001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2" authorId="0" shapeId="0" xr:uid="{00000000-0006-0000-0B00-00001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44" authorId="0" shapeId="0" xr:uid="{00000000-0006-0000-0B00-00001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8" authorId="0" shapeId="0" xr:uid="{00000000-0006-0000-0B00-00001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Keralty</t>
        </r>
      </text>
    </comment>
    <comment ref="K49" authorId="0" shapeId="0" xr:uid="{00000000-0006-0000-0B00-00001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Keralty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tc={89CD5076-172B-43C9-B909-8730FC4E57A9}</author>
  </authors>
  <commentList>
    <comment ref="K9" authorId="0" shapeId="0" xr:uid="{00000000-0006-0000-0C00-000001000000}">
      <text>
        <r>
          <rPr>
            <sz val="9"/>
            <color indexed="81"/>
            <rFont val="Tahoma"/>
            <family val="2"/>
          </rPr>
          <t>Préstamo FONACOT</t>
        </r>
      </text>
    </comment>
    <comment ref="K17" authorId="0" shapeId="0" xr:uid="{00000000-0006-0000-0C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9" authorId="1" shapeId="0" xr:uid="{00000000-0006-0000-0C00-000003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1" authorId="0" shapeId="0" xr:uid="{00000000-0006-0000-0C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28/40 + DSCTO B.P</t>
        </r>
      </text>
    </comment>
    <comment ref="K23" authorId="0" shapeId="0" xr:uid="{00000000-0006-0000-0C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K29" authorId="0" shapeId="0" xr:uid="{00000000-0006-0000-0C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KERALTY 300</t>
        </r>
      </text>
    </comment>
    <comment ref="K30" authorId="0" shapeId="0" xr:uid="{00000000-0006-0000-0C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30" authorId="2" shapeId="0" xr:uid="{00000000-0006-0000-0C00-000008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Cables Starlink Amazon</t>
      </text>
    </comment>
    <comment ref="K37" authorId="0" shapeId="0" xr:uid="{00000000-0006-0000-0C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8" authorId="0" shapeId="0" xr:uid="{00000000-0006-0000-0C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40" authorId="0" shapeId="0" xr:uid="{00000000-0006-0000-0C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41" authorId="0" shapeId="0" xr:uid="{00000000-0006-0000-0C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24/03 AL 60%</t>
        </r>
      </text>
    </comment>
    <comment ref="K42" authorId="0" shapeId="0" xr:uid="{00000000-0006-0000-0C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56" authorId="0" shapeId="0" xr:uid="{00000000-0006-0000-0C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Fecha de ingreso 25/03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</authors>
  <commentList>
    <comment ref="L5" authorId="0" shapeId="0" xr:uid="{00000000-0006-0000-0D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7 días de vacaciones</t>
        </r>
      </text>
    </comment>
    <comment ref="K9" authorId="0" shapeId="0" xr:uid="{00000000-0006-0000-0D00-000002000000}">
      <text>
        <r>
          <rPr>
            <sz val="9"/>
            <color indexed="81"/>
            <rFont val="Tahoma"/>
            <family val="2"/>
          </rPr>
          <t>Préstamo FONACOT</t>
        </r>
      </text>
    </comment>
    <comment ref="K19" authorId="1" shapeId="0" xr:uid="{00000000-0006-0000-0D00-000003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1" authorId="0" shapeId="0" xr:uid="{00000000-0006-0000-0D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29/40 </t>
        </r>
      </text>
    </comment>
    <comment ref="K24" authorId="0" shapeId="0" xr:uid="{00000000-0006-0000-0D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30" authorId="0" shapeId="0" xr:uid="{00000000-0006-0000-0D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31" authorId="0" shapeId="0" xr:uid="{00000000-0006-0000-0D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vcaciones</t>
        </r>
      </text>
    </comment>
    <comment ref="K37" authorId="0" shapeId="0" xr:uid="{00000000-0006-0000-0D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8" authorId="0" shapeId="0" xr:uid="{00000000-0006-0000-0D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40" authorId="0" shapeId="0" xr:uid="{00000000-0006-0000-0D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2" authorId="0" shapeId="0" xr:uid="{00000000-0006-0000-0D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44" authorId="0" shapeId="0" xr:uid="{00000000-0006-0000-0D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47" authorId="0" shapeId="0" xr:uid="{00000000-0006-0000-0D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vcaciones</t>
        </r>
      </text>
    </comment>
    <comment ref="L49" authorId="0" shapeId="0" xr:uid="{00000000-0006-0000-0D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días de vcaciones</t>
        </r>
      </text>
    </comment>
    <comment ref="L56" authorId="0" shapeId="0" xr:uid="{00000000-0006-0000-0D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vcaciones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tc={A3BDFD33-1973-4AC4-A539-612594114C39}</author>
    <author>tc={2A7FE0F1-1238-4FB6-AF2D-D5C27DD7C67D}</author>
    <author>tc={A31175FB-8593-41FC-B6B4-4A8E8AF18780}</author>
  </authors>
  <commentList>
    <comment ref="K9" authorId="0" shapeId="0" xr:uid="{00000000-0006-0000-0E00-000001000000}">
      <text>
        <r>
          <rPr>
            <sz val="9"/>
            <color indexed="81"/>
            <rFont val="Tahoma"/>
            <family val="2"/>
          </rPr>
          <t>Préstamo FONACOT + dscto B.P y B.A 587.84</t>
        </r>
      </text>
    </comment>
    <comment ref="K14" authorId="0" shapeId="0" xr:uid="{00000000-0006-0000-0E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8" authorId="0" shapeId="0" xr:uid="{00000000-0006-0000-0E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9" authorId="1" shapeId="0" xr:uid="{00000000-0006-0000-0E00-000004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1" authorId="0" shapeId="0" xr:uid="{00000000-0006-0000-0E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29/40 </t>
        </r>
      </text>
    </comment>
    <comment ref="K26" authorId="0" shapeId="0" xr:uid="{00000000-0006-0000-0E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30" authorId="0" shapeId="0" xr:uid="{00000000-0006-0000-0E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36" authorId="0" shapeId="0" xr:uid="{00000000-0006-0000-0E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08/04 al 60%</t>
        </r>
      </text>
    </comment>
    <comment ref="K37" authorId="0" shapeId="0" xr:uid="{00000000-0006-0000-0E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8" authorId="0" shapeId="0" xr:uid="{00000000-0006-0000-0E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B.P 293.92</t>
        </r>
      </text>
    </comment>
    <comment ref="K40" authorId="0" shapeId="0" xr:uid="{00000000-0006-0000-0E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40" authorId="2" shapeId="0" xr:uid="{00000000-0006-0000-0E00-00000C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Reembolso gastos de cambio de nombre en la CESPT
</t>
      </text>
    </comment>
    <comment ref="K41" authorId="0" shapeId="0" xr:uid="{00000000-0006-0000-0E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44" authorId="0" shapeId="0" xr:uid="{00000000-0006-0000-0E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45" authorId="0" shapeId="0" xr:uid="{00000000-0006-0000-0E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09/04 al 60%= 314.29 + dcto. B.P 281.67</t>
        </r>
      </text>
    </comment>
    <comment ref="L52" authorId="3" shapeId="0" xr:uid="{00000000-0006-0000-0E00-000010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Reembolso de Linkedin
</t>
      </text>
    </comment>
    <comment ref="L53" authorId="4" shapeId="0" xr:uid="{00000000-0006-0000-0E00-00001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Reembolso por Linkedin</t>
      </text>
    </comment>
    <comment ref="K57" authorId="0" shapeId="0" xr:uid="{00000000-0006-0000-0E00-00001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Fecha de ingreso: 09/04/2025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AuxContabilidad</author>
    <author>Auxiliar de RH 1</author>
    <author>Dell</author>
  </authors>
  <commentList>
    <comment ref="L4" authorId="0" shapeId="0" xr:uid="{00000000-0006-0000-0F00-000001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5" authorId="0" shapeId="0" xr:uid="{00000000-0006-0000-0F00-000002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6" authorId="0" shapeId="0" xr:uid="{00000000-0006-0000-0F00-000003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7" authorId="0" shapeId="0" xr:uid="{00000000-0006-0000-0F00-000004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K8" authorId="1" shapeId="0" xr:uid="{00000000-0006-0000-0F00-000005000000}">
      <text>
        <r>
          <rPr>
            <sz val="9"/>
            <color indexed="81"/>
            <rFont val="Tahoma"/>
            <family val="2"/>
          </rPr>
          <t xml:space="preserve">Préstamo FONACOT + dscto B.P 209.94
</t>
        </r>
      </text>
    </comment>
    <comment ref="L8" authorId="0" shapeId="0" xr:uid="{00000000-0006-0000-0F00-000006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9" authorId="0" shapeId="0" xr:uid="{00000000-0006-0000-0F00-000007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10" authorId="0" shapeId="0" xr:uid="{00000000-0006-0000-0F00-000008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11" authorId="0" shapeId="0" xr:uid="{00000000-0006-0000-0F00-000009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12" authorId="0" shapeId="0" xr:uid="{00000000-0006-0000-0F00-00000A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K13" authorId="0" shapeId="0" xr:uid="{00000000-0006-0000-0F00-00000B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 de B.P. Y B.A. 
</t>
        </r>
      </text>
    </comment>
    <comment ref="L13" authorId="0" shapeId="0" xr:uid="{00000000-0006-0000-0F00-00000C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14" authorId="0" shapeId="0" xr:uid="{00000000-0006-0000-0F00-00000D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15" authorId="0" shapeId="0" xr:uid="{00000000-0006-0000-0F00-00000E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14 al 18 de Abril 
Prima Vacacional
</t>
        </r>
      </text>
    </comment>
    <comment ref="L16" authorId="0" shapeId="0" xr:uid="{00000000-0006-0000-0F00-00000F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K17" authorId="0" shapeId="0" xr:uid="{00000000-0006-0000-0F00-000010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 de B.P.
</t>
        </r>
      </text>
    </comment>
    <comment ref="L17" authorId="0" shapeId="0" xr:uid="{00000000-0006-0000-0F00-000011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16 al 18 de Abril 
Prima Vacacional
</t>
        </r>
      </text>
    </comment>
    <comment ref="K18" authorId="2" shapeId="0" xr:uid="{00000000-0006-0000-0F00-000012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L18" authorId="0" shapeId="0" xr:uid="{00000000-0006-0000-0F00-000013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14 al 18 de Abril 
Prima Vacacional
</t>
        </r>
      </text>
    </comment>
    <comment ref="L19" authorId="0" shapeId="0" xr:uid="{00000000-0006-0000-0F00-000014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20" authorId="0" shapeId="0" xr:uid="{00000000-0006-0000-0F00-000015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21" authorId="0" shapeId="0" xr:uid="{00000000-0006-0000-0F00-000016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K22" authorId="0" shapeId="0" xr:uid="{00000000-0006-0000-0F00-000017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 B.P.
</t>
        </r>
      </text>
    </comment>
    <comment ref="L22" authorId="0" shapeId="0" xr:uid="{00000000-0006-0000-0F00-000018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23" authorId="0" shapeId="0" xr:uid="{00000000-0006-0000-0F00-000019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24" authorId="0" shapeId="0" xr:uid="{00000000-0006-0000-0F00-00001A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25" authorId="0" shapeId="0" xr:uid="{00000000-0006-0000-0F00-00001B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26" authorId="0" shapeId="0" xr:uid="{00000000-0006-0000-0F00-00001C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14 al 18 de Abril 
Prima Vacacional
</t>
        </r>
      </text>
    </comment>
    <comment ref="L27" authorId="0" shapeId="0" xr:uid="{00000000-0006-0000-0F00-00001D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28" authorId="0" shapeId="0" xr:uid="{00000000-0006-0000-0F00-00001E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16 al 18 de Abril 
Prima Vacacional
</t>
        </r>
      </text>
    </comment>
    <comment ref="L29" authorId="0" shapeId="0" xr:uid="{00000000-0006-0000-0F00-00001F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30" authorId="0" shapeId="0" xr:uid="{00000000-0006-0000-0F00-000020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14 al 18 de Abril 
Prima Vacacional
</t>
        </r>
      </text>
    </comment>
    <comment ref="L31" authorId="0" shapeId="0" xr:uid="{00000000-0006-0000-0F00-000021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32" authorId="0" shapeId="0" xr:uid="{00000000-0006-0000-0F00-000022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33" authorId="0" shapeId="0" xr:uid="{00000000-0006-0000-0F00-000023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34" authorId="0" shapeId="0" xr:uid="{00000000-0006-0000-0F00-000024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K35" authorId="1" shapeId="0" xr:uid="{00000000-0006-0000-0F00-00002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L35" authorId="0" shapeId="0" xr:uid="{00000000-0006-0000-0F00-000026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K36" authorId="1" shapeId="0" xr:uid="{00000000-0006-0000-0F00-00002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B.P. 210.42 + B.A. 210.42</t>
        </r>
      </text>
    </comment>
    <comment ref="L36" authorId="0" shapeId="0" xr:uid="{00000000-0006-0000-0F00-000028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37" authorId="0" shapeId="0" xr:uid="{00000000-0006-0000-0F00-000029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K38" authorId="0" shapeId="0" xr:uid="{00000000-0006-0000-0F00-00002A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Descuentos por B.P. y B.A.
</t>
        </r>
      </text>
    </comment>
    <comment ref="L38" authorId="0" shapeId="0" xr:uid="{00000000-0006-0000-0F00-00002B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K39" authorId="0" shapeId="0" xr:uid="{00000000-0006-0000-0F00-00002C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Descuentos B.P.
</t>
        </r>
      </text>
    </comment>
    <comment ref="L39" authorId="0" shapeId="0" xr:uid="{00000000-0006-0000-0F00-00002D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K40" authorId="0" shapeId="0" xr:uid="{00000000-0006-0000-0F00-00002E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 de B.P.
</t>
        </r>
      </text>
    </comment>
    <comment ref="L40" authorId="0" shapeId="0" xr:uid="{00000000-0006-0000-0F00-00002F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41" authorId="0" shapeId="0" xr:uid="{00000000-0006-0000-0F00-000030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K42" authorId="0" shapeId="0" xr:uid="{00000000-0006-0000-0F00-000031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 de B.P.
</t>
        </r>
      </text>
    </comment>
    <comment ref="L42" authorId="0" shapeId="0" xr:uid="{00000000-0006-0000-0F00-000032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43" authorId="0" shapeId="0" xr:uid="{00000000-0006-0000-0F00-000033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44" authorId="0" shapeId="0" xr:uid="{00000000-0006-0000-0F00-000034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45" authorId="0" shapeId="0" xr:uid="{00000000-0006-0000-0F00-000035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46" authorId="0" shapeId="0" xr:uid="{00000000-0006-0000-0F00-000036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47" authorId="0" shapeId="0" xr:uid="{00000000-0006-0000-0F00-000037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48" authorId="0" shapeId="0" xr:uid="{00000000-0006-0000-0F00-000038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49" authorId="0" shapeId="0" xr:uid="{00000000-0006-0000-0F00-000039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50" authorId="0" shapeId="0" xr:uid="{00000000-0006-0000-0F00-00003A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51" authorId="0" shapeId="0" xr:uid="{00000000-0006-0000-0F00-00003B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 + Diferencia por pago de Linkedin
</t>
        </r>
      </text>
    </comment>
    <comment ref="L52" authorId="0" shapeId="0" xr:uid="{00000000-0006-0000-0F00-00003C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53" authorId="0" shapeId="0" xr:uid="{00000000-0006-0000-0F00-00003D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L54" authorId="0" shapeId="0" xr:uid="{00000000-0006-0000-0F00-00003E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AuxContabilidad</author>
    <author>Auxiliar de RH 1</author>
    <author>Dell</author>
  </authors>
  <commentList>
    <comment ref="N4" authorId="0" shapeId="0" xr:uid="{00000000-0006-0000-1000-000001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5" authorId="0" shapeId="0" xr:uid="{00000000-0006-0000-1000-000002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6" authorId="0" shapeId="0" xr:uid="{00000000-0006-0000-1000-000003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7" authorId="0" shapeId="0" xr:uid="{00000000-0006-0000-1000-000004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M8" authorId="1" shapeId="0" xr:uid="{00000000-0006-0000-1000-000005000000}">
      <text>
        <r>
          <rPr>
            <sz val="9"/>
            <color indexed="81"/>
            <rFont val="Tahoma"/>
            <family val="2"/>
          </rPr>
          <t xml:space="preserve">Préstamo FONACOT + dscto B.P 209.94
</t>
        </r>
      </text>
    </comment>
    <comment ref="N8" authorId="0" shapeId="0" xr:uid="{00000000-0006-0000-1000-000006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9" authorId="0" shapeId="0" xr:uid="{00000000-0006-0000-1000-000007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10" authorId="0" shapeId="0" xr:uid="{00000000-0006-0000-1000-000008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11" authorId="0" shapeId="0" xr:uid="{00000000-0006-0000-1000-000009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12" authorId="0" shapeId="0" xr:uid="{00000000-0006-0000-1000-00000A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M13" authorId="0" shapeId="0" xr:uid="{00000000-0006-0000-1000-00000B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 de B.P. Y B.A. 
</t>
        </r>
      </text>
    </comment>
    <comment ref="N13" authorId="0" shapeId="0" xr:uid="{00000000-0006-0000-1000-00000C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14" authorId="0" shapeId="0" xr:uid="{00000000-0006-0000-1000-00000D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15" authorId="0" shapeId="0" xr:uid="{00000000-0006-0000-1000-00000E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14 al 18 de Abril 
Prima Vacacional
</t>
        </r>
      </text>
    </comment>
    <comment ref="N16" authorId="0" shapeId="0" xr:uid="{00000000-0006-0000-1000-00000F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M17" authorId="0" shapeId="0" xr:uid="{00000000-0006-0000-1000-000010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 de B.P.
</t>
        </r>
      </text>
    </comment>
    <comment ref="N17" authorId="0" shapeId="0" xr:uid="{00000000-0006-0000-1000-000011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16 al 18 de Abril 
Prima Vacacional
</t>
        </r>
      </text>
    </comment>
    <comment ref="M18" authorId="2" shapeId="0" xr:uid="{00000000-0006-0000-1000-000012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N18" authorId="0" shapeId="0" xr:uid="{00000000-0006-0000-1000-000013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14 al 18 de Abril 
Prima Vacacional
</t>
        </r>
      </text>
    </comment>
    <comment ref="N19" authorId="0" shapeId="0" xr:uid="{00000000-0006-0000-1000-000014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20" authorId="0" shapeId="0" xr:uid="{00000000-0006-0000-1000-000015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21" authorId="0" shapeId="0" xr:uid="{00000000-0006-0000-1000-000016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M22" authorId="0" shapeId="0" xr:uid="{00000000-0006-0000-1000-000017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 B.P.
</t>
        </r>
      </text>
    </comment>
    <comment ref="N22" authorId="0" shapeId="0" xr:uid="{00000000-0006-0000-1000-000018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23" authorId="0" shapeId="0" xr:uid="{00000000-0006-0000-1000-000019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24" authorId="0" shapeId="0" xr:uid="{00000000-0006-0000-1000-00001A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25" authorId="0" shapeId="0" xr:uid="{00000000-0006-0000-1000-00001B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26" authorId="0" shapeId="0" xr:uid="{00000000-0006-0000-1000-00001C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14 al 18 de Abril 
Prima Vacacional
</t>
        </r>
      </text>
    </comment>
    <comment ref="N27" authorId="0" shapeId="0" xr:uid="{00000000-0006-0000-1000-00001D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28" authorId="0" shapeId="0" xr:uid="{00000000-0006-0000-1000-00001E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16 al 18 de Abril 
Prima Vacacional
</t>
        </r>
      </text>
    </comment>
    <comment ref="N29" authorId="0" shapeId="0" xr:uid="{00000000-0006-0000-1000-00001F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30" authorId="0" shapeId="0" xr:uid="{00000000-0006-0000-1000-000020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14 al 18 de Abril 
Prima Vacacional
</t>
        </r>
      </text>
    </comment>
    <comment ref="N31" authorId="0" shapeId="0" xr:uid="{00000000-0006-0000-1000-000021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32" authorId="0" shapeId="0" xr:uid="{00000000-0006-0000-1000-000022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33" authorId="0" shapeId="0" xr:uid="{00000000-0006-0000-1000-000023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34" authorId="0" shapeId="0" xr:uid="{00000000-0006-0000-1000-000024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M35" authorId="1" shapeId="0" xr:uid="{00000000-0006-0000-1000-00002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N35" authorId="0" shapeId="0" xr:uid="{00000000-0006-0000-1000-000026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M36" authorId="1" shapeId="0" xr:uid="{00000000-0006-0000-1000-00002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B.P. 210.42 + B.A. 210.42</t>
        </r>
      </text>
    </comment>
    <comment ref="N36" authorId="0" shapeId="0" xr:uid="{00000000-0006-0000-1000-000028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37" authorId="0" shapeId="0" xr:uid="{00000000-0006-0000-1000-000029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M38" authorId="0" shapeId="0" xr:uid="{00000000-0006-0000-1000-00002A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Descuentos por B.P. y B.A.
</t>
        </r>
      </text>
    </comment>
    <comment ref="N38" authorId="0" shapeId="0" xr:uid="{00000000-0006-0000-1000-00002B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M39" authorId="0" shapeId="0" xr:uid="{00000000-0006-0000-1000-00002C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Descuentos B.P.
</t>
        </r>
      </text>
    </comment>
    <comment ref="N39" authorId="0" shapeId="0" xr:uid="{00000000-0006-0000-1000-00002D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M40" authorId="0" shapeId="0" xr:uid="{00000000-0006-0000-1000-00002E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 de B.P.
</t>
        </r>
      </text>
    </comment>
    <comment ref="N40" authorId="0" shapeId="0" xr:uid="{00000000-0006-0000-1000-00002F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41" authorId="0" shapeId="0" xr:uid="{00000000-0006-0000-1000-000030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M42" authorId="0" shapeId="0" xr:uid="{00000000-0006-0000-1000-000031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 de B.P.
</t>
        </r>
      </text>
    </comment>
    <comment ref="N42" authorId="0" shapeId="0" xr:uid="{00000000-0006-0000-1000-000032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43" authorId="0" shapeId="0" xr:uid="{00000000-0006-0000-1000-000033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44" authorId="0" shapeId="0" xr:uid="{00000000-0006-0000-1000-000034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45" authorId="0" shapeId="0" xr:uid="{00000000-0006-0000-1000-000035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46" authorId="0" shapeId="0" xr:uid="{00000000-0006-0000-1000-000036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47" authorId="0" shapeId="0" xr:uid="{00000000-0006-0000-1000-000037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48" authorId="0" shapeId="0" xr:uid="{00000000-0006-0000-1000-000038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49" authorId="0" shapeId="0" xr:uid="{00000000-0006-0000-1000-000039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50" authorId="0" shapeId="0" xr:uid="{00000000-0006-0000-1000-00003A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51" authorId="0" shapeId="0" xr:uid="{00000000-0006-0000-1000-00003B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 + Diferencia por pago de Linkedin
</t>
        </r>
      </text>
    </comment>
    <comment ref="N52" authorId="0" shapeId="0" xr:uid="{00000000-0006-0000-1000-00003C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53" authorId="0" shapeId="0" xr:uid="{00000000-0006-0000-1000-00003D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  <comment ref="N54" authorId="0" shapeId="0" xr:uid="{00000000-0006-0000-1000-00003E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Vacaciones 17 y 18 de Abril 
Prima Vacacional
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AuxContabilidad</author>
  </authors>
  <commentList>
    <comment ref="L8" authorId="0" shapeId="0" xr:uid="{00000000-0006-0000-11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</t>
        </r>
      </text>
    </comment>
    <comment ref="K9" authorId="0" shapeId="0" xr:uid="{00000000-0006-0000-1100-000002000000}">
      <text>
        <r>
          <rPr>
            <sz val="9"/>
            <color indexed="81"/>
            <rFont val="Tahoma"/>
            <family val="2"/>
          </rPr>
          <t xml:space="preserve">Préstamo FONACOT
</t>
        </r>
      </text>
    </comment>
    <comment ref="L9" authorId="0" shapeId="0" xr:uid="{00000000-0006-0000-11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 de vacaciones</t>
        </r>
      </text>
    </comment>
    <comment ref="L12" authorId="0" shapeId="0" xr:uid="{00000000-0006-0000-11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L13" authorId="0" shapeId="0" xr:uid="{00000000-0006-0000-11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 de vacaciones</t>
        </r>
      </text>
    </comment>
    <comment ref="K14" authorId="0" shapeId="0" xr:uid="{00000000-0006-0000-11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9" authorId="1" shapeId="0" xr:uid="{00000000-0006-0000-1100-000007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L29" authorId="0" shapeId="0" xr:uid="{00000000-0006-0000-11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 de vacaciones</t>
        </r>
      </text>
    </comment>
    <comment ref="K36" authorId="0" shapeId="0" xr:uid="{00000000-0006-0000-11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7" authorId="0" shapeId="0" xr:uid="{00000000-0006-0000-11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L51" authorId="2" shapeId="0" xr:uid="{00000000-0006-0000-1100-00000B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Bono por referido 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</authors>
  <commentList>
    <comment ref="L6" authorId="0" shapeId="0" xr:uid="{00000000-0006-0000-12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8" authorId="0" shapeId="0" xr:uid="{00000000-0006-0000-12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29/04 al 60%</t>
        </r>
      </text>
    </comment>
    <comment ref="K9" authorId="0" shapeId="0" xr:uid="{00000000-0006-0000-1200-000003000000}">
      <text>
        <r>
          <rPr>
            <sz val="9"/>
            <color indexed="81"/>
            <rFont val="Tahoma"/>
            <family val="2"/>
          </rPr>
          <t xml:space="preserve">Préstamo FONACOT
</t>
        </r>
      </text>
    </comment>
    <comment ref="L9" authorId="0" shapeId="0" xr:uid="{00000000-0006-0000-12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14" authorId="0" shapeId="0" xr:uid="{00000000-0006-0000-12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7" authorId="0" shapeId="0" xr:uid="{00000000-0006-0000-12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8" authorId="0" shapeId="0" xr:uid="{00000000-0006-0000-12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9" authorId="1" shapeId="0" xr:uid="{00000000-0006-0000-1200-000008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L24" authorId="0" shapeId="0" xr:uid="{00000000-0006-0000-12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25" authorId="0" shapeId="0" xr:uid="{00000000-0006-0000-12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34" authorId="0" shapeId="0" xr:uid="{00000000-0006-0000-12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días de vacaciones $571.42 + 2 días adelantados $1,142.85</t>
        </r>
      </text>
    </comment>
    <comment ref="K36" authorId="0" shapeId="0" xr:uid="{00000000-0006-0000-12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7" authorId="0" shapeId="0" xr:uid="{00000000-0006-0000-12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9" authorId="0" shapeId="0" xr:uid="{00000000-0006-0000-12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1" authorId="0" shapeId="0" xr:uid="{00000000-0006-0000-12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48" authorId="0" shapeId="0" xr:uid="{00000000-0006-0000-1200-000010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57" authorId="0" shapeId="0" xr:uid="{00000000-0006-0000-1200-00001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Fecha de ingreso 29/04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AuxContabilidad</author>
  </authors>
  <commentList>
    <comment ref="K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de INFONAVIT 
</t>
        </r>
      </text>
    </comment>
    <comment ref="K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VAC ADELANTADAS 7/7</t>
        </r>
      </text>
    </comment>
    <comment ref="L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L7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9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24/25 
+ 257.74 préstamo FONACOT </t>
        </r>
      </text>
    </comment>
    <comment ref="K19" authorId="1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Se le deja como descuento la totalidad del credito infonavit
</t>
        </r>
      </text>
    </comment>
    <comment ref="K22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17/40</t>
        </r>
      </text>
    </comment>
    <comment ref="K23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06/01 al 60%</t>
        </r>
      </text>
    </comment>
    <comment ref="K25" authorId="2" shapeId="0" xr:uid="{00000000-0006-0000-0100-000009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K28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33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39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40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dcto B.P</t>
        </r>
      </text>
    </comment>
    <comment ref="K46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48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FI 03/01</t>
        </r>
      </text>
    </comment>
    <comment ref="K5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Fecha de ingreso 07/01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AuxContabilidad</author>
  </authors>
  <commentList>
    <comment ref="L11" authorId="0" shapeId="0" xr:uid="{00000000-0006-0000-13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14" authorId="0" shapeId="0" xr:uid="{00000000-0006-0000-13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7" authorId="0" shapeId="0" xr:uid="{00000000-0006-0000-13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8" authorId="0" shapeId="0" xr:uid="{00000000-0006-0000-13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9" authorId="1" shapeId="0" xr:uid="{00000000-0006-0000-1300-000005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0" authorId="0" shapeId="0" xr:uid="{00000000-0006-0000-13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22" authorId="0" shapeId="0" xr:uid="{00000000-0006-0000-13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23" authorId="0" shapeId="0" xr:uid="{00000000-0006-0000-13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25" authorId="0" shapeId="0" xr:uid="{00000000-0006-0000-13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28" authorId="0" shapeId="0" xr:uid="{00000000-0006-0000-13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33" authorId="0" shapeId="0" xr:uid="{00000000-0006-0000-13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2 días adelantados de pago $1142.85 + dscto B.P 209.94</t>
        </r>
      </text>
    </comment>
    <comment ref="K35" authorId="0" shapeId="0" xr:uid="{00000000-0006-0000-13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0" shapeId="0" xr:uid="{00000000-0006-0000-13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B.P y B.A $589.18</t>
        </r>
      </text>
    </comment>
    <comment ref="K39" authorId="0" shapeId="0" xr:uid="{00000000-0006-0000-13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5" authorId="0" shapeId="0" xr:uid="{00000000-0006-0000-13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50" authorId="2" shapeId="0" xr:uid="{00000000-0006-0000-1300-000010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Bono por referido
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tc={559D0E53-F3D0-4476-B7B4-94F9FE372B73}</author>
    <author>Auxiliar de RH 1</author>
    <author>tc={69F4FA24-AE67-4033-8F1E-BCE2205D7FED}</author>
    <author>Dell</author>
    <author>tc={BECAAD89-B32A-4F5C-AE99-58E47E88E695}</author>
  </authors>
  <commentList>
    <comment ref="K6" authorId="0" shapeId="0" xr:uid="{00000000-0006-0000-1400-000001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Descuento por GMM de sus hijos 
Fechas  de descuento 
16 Mayo $ 2,849.18
23 Mayo $2,849.18
05 Septiembre $2,849.18
12 Septiembre $2,849.18
</t>
      </text>
    </comment>
    <comment ref="L8" authorId="1" shapeId="0" xr:uid="{00000000-0006-0000-14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días de vacaciones</t>
        </r>
      </text>
    </comment>
    <comment ref="L9" authorId="2" shapeId="0" xr:uid="{00000000-0006-0000-1400-000003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Indicaciones CCB
</t>
      </text>
    </comment>
    <comment ref="K14" authorId="1" shapeId="0" xr:uid="{00000000-0006-0000-14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14" authorId="1" shapeId="0" xr:uid="{00000000-0006-0000-14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15" authorId="1" shapeId="0" xr:uid="{00000000-0006-0000-14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14/05 al 60%</t>
        </r>
      </text>
    </comment>
    <comment ref="K16" authorId="1" shapeId="0" xr:uid="{00000000-0006-0000-14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8" authorId="1" shapeId="0" xr:uid="{00000000-0006-0000-14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9" authorId="3" shapeId="0" xr:uid="{00000000-0006-0000-1400-000009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8" authorId="1" shapeId="0" xr:uid="{00000000-0006-0000-14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35" authorId="1" shapeId="0" xr:uid="{00000000-0006-0000-14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1" shapeId="0" xr:uid="{00000000-0006-0000-14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B.P y B.A $589.18</t>
        </r>
      </text>
    </comment>
    <comment ref="K38" authorId="1" shapeId="0" xr:uid="{00000000-0006-0000-14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39" authorId="1" shapeId="0" xr:uid="{00000000-0006-0000-14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2" authorId="1" shapeId="0" xr:uid="{00000000-0006-0000-14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50" authorId="4" shapeId="0" xr:uid="{00000000-0006-0000-1400-000010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Reembolso de Linkedin</t>
      </text>
    </comment>
    <comment ref="K57" authorId="1" shapeId="0" xr:uid="{00000000-0006-0000-1400-00001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Fecha de ingreso 13/05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tc={45D6B755-7666-48C6-A64C-5728D72EA6EC}</author>
    <author>Auxiliar de RH 1</author>
    <author>Dell</author>
  </authors>
  <commentList>
    <comment ref="K6" authorId="0" shapeId="0" xr:uid="{00000000-0006-0000-1500-000001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Descuento por GMM de sus hijos 
Fechas  de descuento 
16 Mayo $ 2,849.18
23 Mayo $2,849.18
05 Septiembre $2,849.18
12 Septiembre $2,849.18
</t>
      </text>
    </comment>
    <comment ref="K9" authorId="1" shapeId="0" xr:uid="{00000000-0006-0000-15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10" authorId="1" shapeId="0" xr:uid="{00000000-0006-0000-15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</t>
        </r>
      </text>
    </comment>
    <comment ref="K14" authorId="1" shapeId="0" xr:uid="{00000000-0006-0000-15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7" authorId="1" shapeId="0" xr:uid="{00000000-0006-0000-15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8" authorId="1" shapeId="0" xr:uid="{00000000-0006-0000-15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9" authorId="2" shapeId="0" xr:uid="{00000000-0006-0000-1500-000007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5" authorId="1" shapeId="0" xr:uid="{00000000-0006-0000-15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$668.57 por F.I. 16/05 + dscto B.P y B.A $489.86</t>
        </r>
      </text>
    </comment>
    <comment ref="L29" authorId="1" shapeId="0" xr:uid="{00000000-0006-0000-15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</t>
        </r>
      </text>
    </comment>
    <comment ref="K30" authorId="1" shapeId="0" xr:uid="{00000000-0006-0000-15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19/05 al 60%</t>
        </r>
      </text>
    </comment>
    <comment ref="K35" authorId="1" shapeId="0" xr:uid="{00000000-0006-0000-15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1" shapeId="0" xr:uid="{00000000-0006-0000-15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B.P y B.A $589.18</t>
        </r>
      </text>
    </comment>
    <comment ref="K38" authorId="1" shapeId="0" xr:uid="{00000000-0006-0000-15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0" authorId="1" shapeId="0" xr:uid="{00000000-0006-0000-15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45" authorId="1" shapeId="0" xr:uid="{00000000-0006-0000-15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 de vacaciones</t>
        </r>
      </text>
    </comment>
    <comment ref="K57" authorId="1" shapeId="0" xr:uid="{00000000-0006-0000-1500-000010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PSG el 16/05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tc={B707803A-D6EE-4A4B-8263-3A933150B0FC}</author>
  </authors>
  <commentList>
    <comment ref="L6" authorId="0" shapeId="0" xr:uid="{00000000-0006-0000-16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14" authorId="0" shapeId="0" xr:uid="{00000000-0006-0000-16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15" authorId="0" shapeId="0" xr:uid="{00000000-0006-0000-16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días de vacaciones</t>
        </r>
      </text>
    </comment>
    <comment ref="K16" authorId="0" shapeId="0" xr:uid="{00000000-0006-0000-16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9" authorId="1" shapeId="0" xr:uid="{00000000-0006-0000-1600-000005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0" authorId="0" shapeId="0" xr:uid="{00000000-0006-0000-16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25" authorId="0" shapeId="0" xr:uid="{00000000-0006-0000-16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33" authorId="0" shapeId="0" xr:uid="{00000000-0006-0000-16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35" authorId="0" shapeId="0" xr:uid="{00000000-0006-0000-16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0" shapeId="0" xr:uid="{00000000-0006-0000-16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B.P</t>
        </r>
      </text>
    </comment>
    <comment ref="L37" authorId="2" shapeId="0" xr:uid="{00000000-0006-0000-1600-00000B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Devolución de pago de permiso de CCB</t>
      </text>
    </comment>
    <comment ref="L38" authorId="0" shapeId="0" xr:uid="{00000000-0006-0000-16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días de vacaciones</t>
        </r>
      </text>
    </comment>
    <comment ref="K42" authorId="0" shapeId="0" xr:uid="{00000000-0006-0000-16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AuxContabilidad</author>
  </authors>
  <commentList>
    <comment ref="L7" authorId="0" shapeId="0" xr:uid="{00000000-0006-0000-17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9" authorId="0" shapeId="0" xr:uid="{00000000-0006-0000-17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12" authorId="0" shapeId="0" xr:uid="{00000000-0006-0000-17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días de vacaciones</t>
        </r>
      </text>
    </comment>
    <comment ref="K14" authorId="0" shapeId="0" xr:uid="{00000000-0006-0000-17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7" authorId="0" shapeId="0" xr:uid="{00000000-0006-0000-17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9" authorId="1" shapeId="0" xr:uid="{00000000-0006-0000-1700-000006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5" authorId="0" shapeId="0" xr:uid="{00000000-0006-0000-17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+ Descuento bono puntualidad $293.92</t>
        </r>
      </text>
    </comment>
    <comment ref="K35" authorId="0" shapeId="0" xr:uid="{00000000-0006-0000-17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0" shapeId="0" xr:uid="{00000000-0006-0000-17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40" authorId="0" shapeId="0" xr:uid="{00000000-0006-0000-17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2" authorId="0" shapeId="0" xr:uid="{00000000-0006-0000-17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7" authorId="0" shapeId="0" xr:uid="{00000000-0006-0000-17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02/06 al 60%</t>
        </r>
      </text>
    </comment>
    <comment ref="L50" authorId="2" shapeId="0" xr:uid="{00000000-0006-0000-1700-00000D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Reembolso de Linkedin
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tc={0635F8D6-423D-4A9F-93DD-904CC664694C}</author>
    <author>Auxiliar de RH 1</author>
    <author>Dell</author>
    <author>AuxContabilidad</author>
  </authors>
  <commentList>
    <comment ref="L9" authorId="0" shapeId="0" xr:uid="{00000000-0006-0000-18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Bono solicitado por dirección</t>
      </text>
    </comment>
    <comment ref="K14" authorId="1" shapeId="0" xr:uid="{00000000-0006-0000-18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7" authorId="1" shapeId="0" xr:uid="{00000000-0006-0000-18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8" authorId="1" shapeId="0" xr:uid="{00000000-0006-0000-18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10/06 al 60% + dscto B.P 281.67</t>
        </r>
      </text>
    </comment>
    <comment ref="K19" authorId="2" shapeId="0" xr:uid="{00000000-0006-0000-1800-000005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L21" authorId="1" shapeId="0" xr:uid="{00000000-0006-0000-18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días de vacaciones</t>
        </r>
      </text>
    </comment>
    <comment ref="K25" authorId="1" shapeId="0" xr:uid="{00000000-0006-0000-18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L26" authorId="1" shapeId="0" xr:uid="{00000000-0006-0000-18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28" authorId="1" shapeId="0" xr:uid="{00000000-0006-0000-18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29" authorId="1" shapeId="0" xr:uid="{00000000-0006-0000-18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días de vacaciones</t>
        </r>
      </text>
    </comment>
    <comment ref="K35" authorId="1" shapeId="0" xr:uid="{00000000-0006-0000-18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1" shapeId="0" xr:uid="{00000000-0006-0000-18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B.P</t>
        </r>
      </text>
    </comment>
    <comment ref="K38" authorId="1" shapeId="0" xr:uid="{00000000-0006-0000-18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39" authorId="1" shapeId="0" xr:uid="{00000000-0006-0000-18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09/06 al 60%</t>
        </r>
      </text>
    </comment>
    <comment ref="K40" authorId="1" shapeId="0" xr:uid="{00000000-0006-0000-18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58" authorId="3" shapeId="0" xr:uid="{00000000-0006-0000-1800-000010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Crédito INFONAVIT $1,434.55</t>
        </r>
      </text>
    </comment>
    <comment ref="K59" authorId="1" shapeId="0" xr:uid="{00000000-0006-0000-1800-00001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13/06 PSG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tc={DB4A2F0C-C7A7-448E-AE89-2EFF6BDD533A}</author>
    <author>tc={C02FCD87-4935-4DF5-A1AA-93E519774C73}</author>
    <author>AuxContabilidad</author>
  </authors>
  <commentList>
    <comment ref="L5" authorId="0" shapeId="0" xr:uid="{00000000-0006-0000-19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6 días de vacaciones</t>
        </r>
      </text>
    </comment>
    <comment ref="K14" authorId="0" shapeId="0" xr:uid="{00000000-0006-0000-19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16" authorId="0" shapeId="0" xr:uid="{00000000-0006-0000-19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19" authorId="1" shapeId="0" xr:uid="{00000000-0006-0000-1900-000004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3" authorId="0" shapeId="0" xr:uid="{00000000-0006-0000-19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23" authorId="0" shapeId="0" xr:uid="{00000000-0006-0000-19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25" authorId="0" shapeId="0" xr:uid="{00000000-0006-0000-19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K35" authorId="0" shapeId="0" xr:uid="{00000000-0006-0000-19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0" shapeId="0" xr:uid="{00000000-0006-0000-19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8" authorId="0" shapeId="0" xr:uid="{00000000-0006-0000-19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0" authorId="0" shapeId="0" xr:uid="{00000000-0006-0000-19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42" authorId="0" shapeId="0" xr:uid="{00000000-0006-0000-19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días de vacaciones</t>
        </r>
      </text>
    </comment>
    <comment ref="L47" authorId="0" shapeId="0" xr:uid="{00000000-0006-0000-19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días de vacaciones</t>
        </r>
      </text>
    </comment>
    <comment ref="L49" authorId="0" shapeId="0" xr:uid="{00000000-0006-0000-19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días de vacaciones</t>
        </r>
      </text>
    </comment>
    <comment ref="L50" authorId="2" shapeId="0" xr:uid="{00000000-0006-0000-1900-00000F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Bono por recluta</t>
      </text>
    </comment>
    <comment ref="L51" authorId="3" shapeId="0" xr:uid="{00000000-0006-0000-1900-000010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Reembolso Linkedin
</t>
      </text>
    </comment>
    <comment ref="K56" authorId="0" shapeId="0" xr:uid="{00000000-0006-0000-1900-00001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Faltas injustificadas desde el lunes 16/06</t>
        </r>
      </text>
    </comment>
    <comment ref="K58" authorId="4" shapeId="0" xr:uid="{00000000-0006-0000-1900-000012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Crédito INFONAVIT $1,462.24
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tc={C3C3334F-D4B8-4E24-932B-48089D9E818F}</author>
    <author>Dell</author>
    <author>AuxContabilidad</author>
  </authors>
  <commentList>
    <comment ref="L6" authorId="0" shapeId="0" xr:uid="{66E772AF-F3C5-49E0-A855-FBCA6D522B7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7 días de vacaciones adelantadas.</t>
        </r>
      </text>
    </comment>
    <comment ref="L8" authorId="1" shapeId="0" xr:uid="{C3C3334F-D4B8-4E24-932B-48089D9E818F}">
      <text>
        <t>[Threaded comment]
Your version of Excel allows you to read this threaded comment; however, any edits to it will get removed if the file is opened in a newer version of Excel. Learn more: https://go.microsoft.com/fwlink/?linkid=870924
Comment:
    Reembolso por concepto de aceites de motor para la cherokee</t>
      </text>
    </comment>
    <comment ref="K13" authorId="0" shapeId="0" xr:uid="{C888DE52-F658-4BF4-AF23-63AD56AE753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al 60%</t>
        </r>
      </text>
    </comment>
    <comment ref="K14" authorId="0" shapeId="0" xr:uid="{7C9D00A7-20AC-4E4A-8122-5E2994878EE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6" authorId="0" shapeId="0" xr:uid="{E7EBD7BD-35DF-4F30-991F-9C20467DFCC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8" authorId="0" shapeId="0" xr:uid="{FE584D18-128D-435B-A420-59F6B209842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18" authorId="0" shapeId="0" xr:uid="{580C865D-56F8-4B38-9C58-79790DE562A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19" authorId="2" shapeId="0" xr:uid="{0C1F9930-4B2A-4E90-A8A3-B11DB3E95B9D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5" authorId="0" shapeId="0" xr:uid="{54CF7DE6-6792-4A45-8814-4F2850DF975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+ DSCTO B.P</t>
        </r>
      </text>
    </comment>
    <comment ref="L28" authorId="3" shapeId="0" xr:uid="{39A62573-ECC0-4E06-89D8-854217D5D727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REEMBOLSO PAGO DE PROGRAMA CAP CUT
</t>
        </r>
      </text>
    </comment>
    <comment ref="K35" authorId="0" shapeId="0" xr:uid="{ECD1E6F2-D34D-40C8-9F26-CB4454F22A8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0" shapeId="0" xr:uid="{66853971-28FE-4FD1-9DE5-0E236C8AF64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B.P $257.76 + 3 días al 60% $942.84</t>
        </r>
      </text>
    </comment>
    <comment ref="K38" authorId="0" shapeId="0" xr:uid="{EB349F14-64B2-4A54-8E44-21A7B5EAE7D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9" authorId="0" shapeId="0" xr:uid="{4A490961-6F7D-49FC-8814-F79652D54A5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58" authorId="3" shapeId="0" xr:uid="{B44C60DE-7216-47FF-AF1D-E0745FFD99AF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Crédito INFONAVIT $1,462.24
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AuxContabilidad</author>
  </authors>
  <commentList>
    <comment ref="K14" authorId="0" shapeId="0" xr:uid="{72E4490B-6971-4AFA-B544-B99A876C440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14" authorId="0" shapeId="0" xr:uid="{E0F845E4-5B5E-4CE1-A238-FE4006787D9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16" authorId="0" shapeId="0" xr:uid="{8829381D-50E7-4FAA-ABDD-4D5B00A62C5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9" authorId="1" shapeId="0" xr:uid="{E85320A0-0112-46F4-A4B3-6CAD80633D2E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0" authorId="0" shapeId="0" xr:uid="{BCDF99A5-708C-4FC0-9153-E204009035D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30/06 al 60%</t>
        </r>
      </text>
    </comment>
    <comment ref="K25" authorId="0" shapeId="0" xr:uid="{6639CE6B-E1CC-4671-9884-ED075391460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+ DSCTO B.P</t>
        </r>
      </text>
    </comment>
    <comment ref="K35" authorId="0" shapeId="0" xr:uid="{B2507358-676E-497A-B6F0-B8FB6D58C75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0" shapeId="0" xr:uid="{FB19E991-AEC6-47DE-8C60-7693897829D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B.P </t>
        </r>
      </text>
    </comment>
    <comment ref="K40" authorId="0" shapeId="0" xr:uid="{9EB9EEA8-DED7-4051-8F06-6B5D4015868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40" authorId="0" shapeId="0" xr:uid="{AD2F81BD-B27E-45D2-9D4F-9AEC8D1F54A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Bonificación por laborar turno completo</t>
        </r>
      </text>
    </comment>
    <comment ref="K45" authorId="0" shapeId="0" xr:uid="{E81493EE-01A6-468D-BE1D-268845C46B5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26/06 al 60%</t>
        </r>
      </text>
    </comment>
    <comment ref="K46" authorId="0" shapeId="0" xr:uid="{1FE32E23-AB3B-4313-93E6-8CC17D7C74D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4 días de INCAPACIDAD </t>
        </r>
      </text>
    </comment>
    <comment ref="K58" authorId="2" shapeId="0" xr:uid="{32F602FD-8E4A-4757-BB97-50E1E5BEEF1D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Crédito INFONAVIT $1,462.24
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tc={8BB5463E-8C38-46A8-B8BB-658E93ED6225}</author>
    <author>tc={B731C6F7-6B07-415C-B8A5-7DDF375E0967}</author>
    <author>AuxContabilidad</author>
  </authors>
  <commentList>
    <comment ref="K6" authorId="0" shapeId="0" xr:uid="{9712C36F-46DF-446E-AD4E-552009DDF54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por VAC. Adelantadas 1/7</t>
        </r>
      </text>
    </comment>
    <comment ref="L13" authorId="0" shapeId="0" xr:uid="{CA267821-451E-4B7F-88B0-3DFE62655D3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14" authorId="0" shapeId="0" xr:uid="{0FC4FE5C-6CB2-4B96-913C-9BEAC474B79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7" authorId="0" shapeId="0" xr:uid="{4D835582-C333-47BD-8DB2-A3FC6894417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17" authorId="0" shapeId="0" xr:uid="{EDAA6C1C-E0B0-4421-9E70-97F268CE59B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18" authorId="0" shapeId="0" xr:uid="{79E2EE09-2325-43C9-A514-8991FF93351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08/07 al 60%</t>
        </r>
      </text>
    </comment>
    <comment ref="K19" authorId="1" shapeId="0" xr:uid="{86006C9B-A895-47B3-ABA9-31550C8D9C88}">
      <text>
        <r>
          <rPr>
            <b/>
            <sz val="9"/>
            <color indexed="81"/>
            <rFont val="Tahoma"/>
            <family val="2"/>
          </rPr>
          <t xml:space="preserve">INFONAVIT $893.39 - NUEVA CANTIDAD ACTUALIZADA + DSCTO SEGURO POR $1,117.53 1/12 
</t>
        </r>
      </text>
    </comment>
    <comment ref="L20" authorId="0" shapeId="0" xr:uid="{35DFB16A-B58E-4A34-BE17-22B6F6B12C5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L23" authorId="0" shapeId="0" xr:uid="{44224742-1049-4AD5-8306-E36A584AEF6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días de vacaciones</t>
        </r>
      </text>
    </comment>
    <comment ref="K25" authorId="0" shapeId="0" xr:uid="{0A3E0717-EEF9-4A0D-B3F3-4A187505A0B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L27" authorId="2" shapeId="0" xr:uid="{8BB5463E-8C38-46A8-B8BB-658E93ED6225}">
      <text>
        <t>[Threaded comment]
Your version of Excel allows you to read this threaded comment; however, any edits to it will get removed if the file is opened in a newer version of Excel. Learn more: https://go.microsoft.com/fwlink/?linkid=870924
Comment:
    Préstamo 80,000.00 pesos</t>
      </text>
    </comment>
    <comment ref="K35" authorId="0" shapeId="0" xr:uid="{FF7CD40D-BD43-4FBD-B066-515774F39EE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0" shapeId="0" xr:uid="{8F228D55-BB8D-4360-B11E-6687BE41802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Licencia $422.50 </t>
        </r>
      </text>
    </comment>
    <comment ref="L37" authorId="0" shapeId="0" xr:uid="{73883F97-C612-4529-9EF5-EC784FE066E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días de vacaciones</t>
        </r>
      </text>
    </comment>
    <comment ref="K40" authorId="0" shapeId="0" xr:uid="{0D103810-B870-42AA-AEB5-E7F7D233A44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26/06 al 60%</t>
        </r>
      </text>
    </comment>
    <comment ref="K42" authorId="0" shapeId="0" xr:uid="{459CCB1A-B228-41DE-B30E-D524A6538F2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48" authorId="0" shapeId="0" xr:uid="{C9D145B1-0E11-497F-B39B-6DC49733C5F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Rembolso por pago de carta N.A</t>
        </r>
      </text>
    </comment>
    <comment ref="L50" authorId="3" shapeId="0" xr:uid="{B731C6F7-6B07-415C-B8A5-7DDF375E0967}">
      <text>
        <t>[Threaded comment]
Your version of Excel allows you to read this threaded comment; however, any edits to it will get removed if the file is opened in a newer version of Excel. Learn more: https://go.microsoft.com/fwlink/?linkid=870924
Comment:
    Bono por referido - Navarro Alvarado Daniel Eduardo</t>
      </text>
    </comment>
    <comment ref="K57" authorId="4" shapeId="0" xr:uid="{250560C6-BD45-42B8-B7C4-8D635DFA44E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
</t>
        </r>
      </text>
    </comment>
    <comment ref="L57" authorId="0" shapeId="0" xr:uid="{7BC12329-404A-4449-9BB3-448F6856846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mensual garantizado 1/4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AuxContabilidad</author>
  </authors>
  <commentList>
    <comment ref="K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de INFONAVIT 
</t>
        </r>
      </text>
    </comment>
    <comment ref="L8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9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25/25 
+ 257.74 préstamo FONACOT </t>
        </r>
      </text>
    </comment>
    <comment ref="L11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Reembolso</t>
        </r>
      </text>
    </comment>
    <comment ref="K12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3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13/01 al 60%</t>
        </r>
      </text>
    </comment>
    <comment ref="I14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300 + 5.36 (Diferencia contpaq)</t>
        </r>
      </text>
    </comment>
    <comment ref="K1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Se le deja como descuento la totalidad del credito infonavit
</t>
        </r>
      </text>
    </comment>
    <comment ref="K2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18/40</t>
        </r>
      </text>
    </comment>
    <comment ref="K24" authorId="2" shapeId="0" xr:uid="{00000000-0006-0000-0200-00000C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I2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comedor 375  + 35.36 (Diferencia contpaq)</t>
        </r>
      </text>
    </comment>
    <comment ref="K27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38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9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</t>
        </r>
      </text>
    </comment>
    <comment ref="K41" authorId="0" shapeId="0" xr:uid="{00000000-0006-0000-0200-00001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5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tc={A79300EC-7DA4-4FF1-AAE0-DA155F1523F5}</author>
    <author>AuxContabilidad</author>
  </authors>
  <commentList>
    <comment ref="L6" authorId="0" shapeId="0" xr:uid="{DE66287C-A3D1-4AE4-A42A-AD883234F30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5 días de vacaciones</t>
        </r>
      </text>
    </comment>
    <comment ref="L13" authorId="0" shapeId="0" xr:uid="{751F3612-0ED9-4B6A-B64E-47176156DF5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Rembolso por pago de licencia</t>
        </r>
      </text>
    </comment>
    <comment ref="L15" authorId="0" shapeId="0" xr:uid="{81522C36-2AE0-4D76-A16C-A2553F24EAB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18" authorId="0" shapeId="0" xr:uid="{29D13346-9E29-4546-8546-BDCA0C0AD66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14/07 al 60% $282.86 + 3 días INC (15-17): $848.55 + DSCTO B.P. $281.67</t>
        </r>
      </text>
    </comment>
    <comment ref="M18" authorId="0" shapeId="0" xr:uid="{8B0CDC8C-9F4A-484F-B171-184E0128475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Falta capturar la INCAPACIDAD</t>
        </r>
      </text>
    </comment>
    <comment ref="K19" authorId="1" shapeId="0" xr:uid="{00F65D22-DB0A-4EFC-A343-2B49DE1BC0C8}">
      <text>
        <r>
          <rPr>
            <b/>
            <sz val="9"/>
            <color indexed="81"/>
            <rFont val="Tahoma"/>
            <family val="2"/>
          </rPr>
          <t xml:space="preserve">INFONAVIT $893.39 - NUEVA CANTIDAD ACTUALIZADA + DSCTO SEGURO POR $1,117.53 2/12 
</t>
        </r>
      </text>
    </comment>
    <comment ref="K25" authorId="0" shapeId="0" xr:uid="{D7F6DC68-9BFA-42F4-ADAE-79008C013A9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L32" authorId="0" shapeId="0" xr:uid="{8DBF95D4-0647-412F-AF74-1A36F4B22D1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Rembolso por pago de licencia</t>
        </r>
      </text>
    </comment>
    <comment ref="K35" authorId="0" shapeId="0" xr:uid="{9FAD19EC-6555-4F82-9888-6F6778D7440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0" shapeId="0" xr:uid="{34B51766-D524-4463-8041-C8C35B85725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B.P 294.59</t>
        </r>
      </text>
    </comment>
    <comment ref="K40" authorId="0" shapeId="0" xr:uid="{474AF1DA-EA0D-407C-B04A-FDAF144A197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48" authorId="0" shapeId="0" xr:uid="{3C657951-D961-4FF8-811D-E1D73F9A3F6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Rembolso por pago de licencia</t>
        </r>
      </text>
    </comment>
    <comment ref="L51" authorId="2" shapeId="0" xr:uid="{A79300EC-7DA4-4FF1-AAE0-DA155F1523F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Bono referido de $1,500.00
</t>
      </text>
    </comment>
    <comment ref="K57" authorId="3" shapeId="0" xr:uid="{F831CA8A-6E20-4100-B90C-598E86D48EB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 + Calculo 10/07 al 60%
</t>
        </r>
      </text>
    </comment>
    <comment ref="K60" authorId="0" shapeId="0" xr:uid="{B8F831EE-44C5-4E5A-B6D0-19D08344531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Fecha de ingreso 16/07/2025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tc={23BD6F0A-4B56-4819-A490-405CED47E05F}</author>
    <author>Auxiliar de RH 1</author>
    <author>Dell</author>
    <author>tc={E69158FC-2B81-4D00-9ED9-334F6A81533F}</author>
    <author>AuxContabilidad</author>
    <author>tc={9DD043D4-D64E-4B63-852E-4BEF19620C8A}</author>
  </authors>
  <commentList>
    <comment ref="L9" authorId="0" shapeId="0" xr:uid="{23BD6F0A-4B56-4819-A490-405CED47E05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Bono mensual, se paga la 2da semana de cada mes hasta diciembre 2025
</t>
      </text>
    </comment>
    <comment ref="K10" authorId="1" shapeId="0" xr:uid="{5EDE1443-BA11-473F-A5CC-00B1D57B447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Incapacidad</t>
        </r>
      </text>
    </comment>
    <comment ref="M10" authorId="1" shapeId="0" xr:uid="{10F20E5B-26F0-49FD-A96E-E6E7E749252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Falta agregar la incapacidad para realizar el ajuste</t>
        </r>
      </text>
    </comment>
    <comment ref="K14" authorId="1" shapeId="0" xr:uid="{A1FAB1D1-80AE-425F-821F-D655766F235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7" authorId="1" shapeId="0" xr:uid="{00722430-493D-4C4A-94F0-170FBBA3CA9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9" authorId="2" shapeId="0" xr:uid="{D2CB416B-A1E6-4453-8582-677BF2AAB63D}">
      <text>
        <r>
          <rPr>
            <b/>
            <sz val="9"/>
            <color indexed="81"/>
            <rFont val="Tahoma"/>
            <family val="2"/>
          </rPr>
          <t xml:space="preserve">INFONAVIT $893.39 - NUEVA CANTIDAD ACTUALIZADA + DSCTO SEGURO POR $1,117.53 3/12 
DSCTO POR TC HONDA
$580 1/10
</t>
        </r>
      </text>
    </comment>
    <comment ref="L19" authorId="1" shapeId="0" xr:uid="{FB4FC532-89D4-408B-8C28-AD1315F826F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25" authorId="1" shapeId="0" xr:uid="{60D6318F-2FC9-4051-B644-C86739094C6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+ 23/07 al 60%</t>
        </r>
      </text>
    </comment>
    <comment ref="K27" authorId="1" shapeId="0" xr:uid="{12C5041C-43D7-426E-8228-ACB65131FDF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1/52</t>
        </r>
      </text>
    </comment>
    <comment ref="K35" authorId="1" shapeId="0" xr:uid="{B51BC46D-EB79-433E-A2EA-BAE6FA6A156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dscto. B.P</t>
        </r>
      </text>
    </comment>
    <comment ref="K36" authorId="1" shapeId="0" xr:uid="{DEF01088-A15C-4FE8-8C6C-5C0F0A19601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</t>
        </r>
      </text>
    </comment>
    <comment ref="K38" authorId="1" shapeId="0" xr:uid="{4BFA633E-9314-4049-B97D-F3EDA67013A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0" authorId="1" shapeId="0" xr:uid="{8FF88D74-1ADA-4C1B-9401-22206B33922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2" authorId="1" shapeId="0" xr:uid="{312C97EB-F232-4E8F-AD24-994B1A72AF2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7" authorId="1" shapeId="0" xr:uid="{474A2499-C04F-452D-89F6-7549F7745EE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51" authorId="3" shapeId="0" xr:uid="{E69158FC-2B81-4D00-9ED9-334F6A81533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5 bonos referidos, 
Alma Cecilia Pérez
José Juan Ahuja
Isabel Cristina Martínez 
Julieta Zamora
Miriam Alejandra García 
1,500 X 5
</t>
      </text>
    </comment>
    <comment ref="K57" authorId="4" shapeId="0" xr:uid="{BD682A82-D5BC-4CCB-8E04-AEDE0AF19A25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 + dscto pago de licencia por 456.2 1/2</t>
        </r>
      </text>
    </comment>
    <comment ref="L59" authorId="5" shapeId="0" xr:uid="{9DD043D4-D64E-4B63-852E-4BEF19620C8A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Reembolso por concepto de tarjeta de acceso a la oficina Chihuahua
</t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tc={CBD7F406-6974-45C7-9903-D1A1070A0E20}</author>
    <author>Dell</author>
    <author>tc={CF8C2883-80D3-4BC0-8D17-62E76898F783}</author>
    <author>AuxContabilidad</author>
  </authors>
  <commentList>
    <comment ref="L9" authorId="0" shapeId="0" xr:uid="{DB11398A-886D-43EB-99AB-BFECAA0E0B1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4 días de vacaciones</t>
        </r>
      </text>
    </comment>
    <comment ref="K10" authorId="1" shapeId="0" xr:uid="{CBD7F406-6974-45C7-9903-D1A1070A0E2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INCAPACIDAD </t>
      </text>
    </comment>
    <comment ref="L12" authorId="0" shapeId="0" xr:uid="{334419BA-AAC3-4AA2-8C90-37B54ABB41C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14" authorId="0" shapeId="0" xr:uid="{D7DE8195-3691-4EE7-8800-E4E3D0B7299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16" authorId="0" shapeId="0" xr:uid="{9E6B70C7-9799-4826-B3D6-890DF19AA7E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17" authorId="0" shapeId="0" xr:uid="{D5C90498-3885-4988-94E9-07EE58DAA04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9" authorId="2" shapeId="0" xr:uid="{B5440C88-D4AD-460C-9FF5-0F2E18192EB2}">
      <text>
        <r>
          <rPr>
            <b/>
            <sz val="9"/>
            <color indexed="81"/>
            <rFont val="Tahoma"/>
            <family val="2"/>
          </rPr>
          <t xml:space="preserve">INFONAVIT $893.39 - NUEVA CANTIDAD ACTUALIZADA + DSCTO SEGURO POR $1,697.53 4/12 
DSCTO POR TC HONDA
$580 2/10
</t>
        </r>
      </text>
    </comment>
    <comment ref="K25" authorId="0" shapeId="0" xr:uid="{A10CA0AD-8A58-45B6-B186-0C70DD858C7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+ 2 F.I $1337.14</t>
        </r>
      </text>
    </comment>
    <comment ref="L26" authorId="0" shapeId="0" xr:uid="{3C404169-106E-4EBB-B8EF-913DA1CF713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días de vacaciones</t>
        </r>
      </text>
    </comment>
    <comment ref="K27" authorId="0" shapeId="0" xr:uid="{8D09F7B3-2241-41D6-AFF8-D2563CC798E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2/52</t>
        </r>
      </text>
    </comment>
    <comment ref="L28" authorId="0" shapeId="0" xr:uid="{708C3C2E-AB16-4F57-80D4-D53D9F90F62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30" authorId="0" shapeId="0" xr:uid="{3542243A-F823-47DA-A535-D8594EBCC77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28/07 al 60%</t>
        </r>
      </text>
    </comment>
    <comment ref="K35" authorId="0" shapeId="0" xr:uid="{B989C076-55BF-4561-88D5-8CDDA102A71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0" shapeId="0" xr:uid="{C1935116-97CE-49F7-A628-8CA648113DF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dscto. B.P</t>
        </r>
      </text>
    </comment>
    <comment ref="K37" authorId="3" shapeId="0" xr:uid="{CF8C2883-80D3-4BC0-8D17-62E76898F78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FINIQUITO PENDIENTE
</t>
      </text>
    </comment>
    <comment ref="K38" authorId="0" shapeId="0" xr:uid="{8F3562EE-B9FC-4F39-A6AF-7124716B708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40" authorId="0" shapeId="0" xr:uid="{EBB192DD-41F3-480F-A458-EF16AF89F6E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47" authorId="0" shapeId="0" xr:uid="{30E75154-6207-49BE-824A-DFF3959D244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Complemento de bono</t>
        </r>
      </text>
    </comment>
    <comment ref="L48" authorId="4" shapeId="0" xr:uid="{E5965254-E641-41C8-AA1C-99E81EAE8A7C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Reembolso por pago de capcut
</t>
        </r>
      </text>
    </comment>
    <comment ref="K56" authorId="0" shapeId="0" xr:uid="{4E0277F8-C9B2-4E8F-830B-C908B02680A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30/07 al 60%</t>
        </r>
      </text>
    </comment>
    <comment ref="K57" authorId="4" shapeId="0" xr:uid="{A01F6613-059C-49A6-95EC-FCD2F4D5E40A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 + dscto pago de licencia por 456.2 2/2</t>
        </r>
      </text>
    </comment>
    <comment ref="L59" authorId="0" shapeId="0" xr:uid="{508A14EF-77DC-4E9D-AD6C-0F0E32328D4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Pago bono mensual garantizado</t>
        </r>
      </text>
    </comment>
  </commentList>
</comments>
</file>

<file path=xl/comments3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tc={CF0AA37E-4BC4-49C6-8CCF-AEC1402F0FE2}</author>
    <author>tc={4D1C64D6-F78A-4A01-809C-4117B5F4DE8B}</author>
    <author>Dell</author>
    <author>tc={577C1353-0250-4C02-ADD5-3DF2F3FC1339}</author>
    <author>tc={D4FB7F1A-F0B5-4A10-864D-08CC4DDE1503}</author>
    <author>tc={D98F92E7-0C0E-4F2C-A672-F0E517626A1F}</author>
    <author>AuxContabilidad</author>
  </authors>
  <commentList>
    <comment ref="K6" authorId="0" shapeId="0" xr:uid="{FA45C796-A93A-4D9B-9841-7F597D6AA69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VACACIONES ADELANTADAS 2/7</t>
        </r>
      </text>
    </comment>
    <comment ref="L9" authorId="1" shapeId="0" xr:uid="{CF0AA37E-4BC4-49C6-8CCF-AEC1402F0FE2}">
      <text>
        <t>[Threaded comment]
Your version of Excel allows you to read this threaded comment; however, any edits to it will get removed if the file is opened in a newer version of Excel. Learn more: https://go.microsoft.com/fwlink/?linkid=870924
Comment:
    Bono mensual, se paga la 2da semana de cada mes hasta diciembre 2025</t>
      </text>
    </comment>
    <comment ref="L10" authorId="2" shapeId="0" xr:uid="{4D1C64D6-F78A-4A01-809C-4117B5F4DE8B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Corresponden 537.47, sin embargo, teníamos a favor 260.97,  por lo que le corresponde pagarle 276.50 
Reply:
    Ella ya está enterada.</t>
      </text>
    </comment>
    <comment ref="K14" authorId="0" shapeId="0" xr:uid="{B6F2AFF1-2EE8-4EED-9BEC-F40B8C7E660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7" authorId="0" shapeId="0" xr:uid="{41FA380A-E54B-4E98-AB34-B19138715F9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9" authorId="3" shapeId="0" xr:uid="{1BA82C44-35A3-4BFB-BECB-1D478036F4F9}">
      <text>
        <r>
          <rPr>
            <b/>
            <sz val="9"/>
            <color indexed="81"/>
            <rFont val="Tahoma"/>
            <family val="2"/>
          </rPr>
          <t xml:space="preserve">INFONAVIT $893.39 - NUEVA CANTIDAD ACTUALIZADA + DSCTO SEGURO POR $1,117.53 5/12 
DSCTO POR TC HONDA
$580 3/10
</t>
        </r>
      </text>
    </comment>
    <comment ref="K25" authorId="0" shapeId="0" xr:uid="{9F9C40EA-9075-4873-9FD6-B023AA6141D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</t>
        </r>
      </text>
    </comment>
    <comment ref="K27" authorId="0" shapeId="0" xr:uid="{0555D55B-E773-40AD-BC7B-745D4392B37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3/52</t>
        </r>
      </text>
    </comment>
    <comment ref="K35" authorId="0" shapeId="0" xr:uid="{84F87AD5-BA48-4870-B470-08867A8E0AF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0" shapeId="0" xr:uid="{CBF7CE69-B103-4D81-BD1B-E0925979707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dscto. B.P Y B.A</t>
        </r>
      </text>
    </comment>
    <comment ref="L36" authorId="4" shapeId="0" xr:uid="{577C1353-0250-4C02-ADD5-3DF2F3FC1339}">
      <text>
        <t>[Threaded comment]
Your version of Excel allows you to read this threaded comment; however, any edits to it will get removed if the file is opened in a newer version of Excel. Learn more: https://go.microsoft.com/fwlink/?linkid=870924
Comment:
    Comisiones</t>
      </text>
    </comment>
    <comment ref="K37" authorId="0" shapeId="0" xr:uid="{FF7649D7-952E-44F5-97E0-1A653F0912E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39" authorId="0" shapeId="0" xr:uid="{3DC37874-AA72-487C-93B8-8326FF449B0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44" authorId="0" shapeId="0" xr:uid="{9E0DA225-1F52-4FA7-935E-AC48AD7F163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días de vacaciones</t>
        </r>
      </text>
    </comment>
    <comment ref="K46" authorId="0" shapeId="0" xr:uid="{E920DD20-5829-4731-BC02-EEFB3F32BF3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8" authorId="0" shapeId="0" xr:uid="{60DD0194-C813-4C14-B48D-4E93D3ECE64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01/08 DESCUENTO AL 60%</t>
        </r>
      </text>
    </comment>
    <comment ref="L49" authorId="5" shapeId="0" xr:uid="{D4FB7F1A-F0B5-4A10-864D-08CC4DDE1503}">
      <text>
        <t>[Threaded comment]
Your version of Excel allows you to read this threaded comment; however, any edits to it will get removed if the file is opened in a newer version of Excel. Learn more: https://go.microsoft.com/fwlink/?linkid=870924
Comment:
    Bono por referidos: 
Francisco Javier Valencia Meneses
Peniche González Anibal Fernando</t>
      </text>
    </comment>
    <comment ref="L50" authorId="6" shapeId="0" xr:uid="{D98F92E7-0C0E-4F2C-A672-F0E517626A1F}">
      <text>
        <t>[Threaded comment]
Your version of Excel allows you to read this threaded comment; however, any edits to it will get removed if the file is opened in a newer version of Excel. Learn more: https://go.microsoft.com/fwlink/?linkid=870924
Comment:
    Bono por referido:
Uriel Antonio Díaz Guzmán</t>
      </text>
    </comment>
    <comment ref="L52" authorId="0" shapeId="0" xr:uid="{683DCC61-DCE7-4090-9CB4-1622848E84F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días de vacaciones</t>
        </r>
      </text>
    </comment>
    <comment ref="K56" authorId="7" shapeId="0" xr:uid="{41C84643-EC6B-4C00-9EE5-408C5D6F6345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 </t>
        </r>
      </text>
    </comment>
    <comment ref="K62" authorId="0" shapeId="0" xr:uid="{EAE4C860-0A9B-40A4-A8A6-C3E6679CB74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INGRESO 05/08</t>
        </r>
      </text>
    </comment>
  </commentList>
</comments>
</file>

<file path=xl/comments3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AuxContabilidad</author>
  </authors>
  <commentList>
    <comment ref="K14" authorId="0" shapeId="0" xr:uid="{0AEAA403-6904-4F8E-AD41-98C0AA9F97B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7" authorId="0" shapeId="0" xr:uid="{4E8C2DEA-D1F6-4AF7-B4A0-0EAA3A0C11D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8" authorId="0" shapeId="0" xr:uid="{1E9A1640-4270-4CCF-80AF-D3FF96A7032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9" authorId="1" shapeId="0" xr:uid="{A126EA1C-08C7-4BAD-B76B-0398672D7EA0}">
      <text>
        <r>
          <rPr>
            <b/>
            <sz val="9"/>
            <color indexed="81"/>
            <rFont val="Tahoma"/>
            <family val="2"/>
          </rPr>
          <t xml:space="preserve">INFONAVIT $893.39 - NUEVA CANTIDAD ACTUALIZADA + DSCTO SEGURO POR $1,117.53 6/12 
DSCTO POR TC HONDA
$580 4/10
</t>
        </r>
      </text>
    </comment>
    <comment ref="K23" authorId="0" shapeId="0" xr:uid="{A906887A-0990-425F-89C2-B065105D806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25" authorId="0" shapeId="0" xr:uid="{3167B8BC-B01B-42A4-BDB7-E999C174693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</t>
        </r>
      </text>
    </comment>
    <comment ref="K26" authorId="0" shapeId="0" xr:uid="{BB074D2A-3AF1-402F-9404-0540FE25BC4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27" authorId="0" shapeId="0" xr:uid="{11C7BD12-4675-4350-84C0-E449541152D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4/52</t>
        </r>
      </text>
    </comment>
    <comment ref="K34" authorId="0" shapeId="0" xr:uid="{B9E3A427-DD14-4053-97DE-FE58CDB541F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5" authorId="0" shapeId="0" xr:uid="{1678AE32-BF01-429F-A661-A4C57C6BDD7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6" authorId="0" shapeId="0" xr:uid="{74A2C19B-C9D7-48FF-AE2F-365EEA69EF2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38" authorId="0" shapeId="0" xr:uid="{F82CE67A-6AA2-4455-9FF7-61D9F6752D0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08/08 DESCUENTO AL 60%</t>
        </r>
      </text>
    </comment>
    <comment ref="K47" authorId="0" shapeId="0" xr:uid="{D57C5086-6676-414A-A41D-67AC11E0E3C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55" authorId="2" shapeId="0" xr:uid="{55E7BB66-98FC-4E91-A649-6E8838E79819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 </t>
        </r>
      </text>
    </comment>
    <comment ref="K56" authorId="0" shapeId="0" xr:uid="{815D026C-6A93-41C1-B7CE-BA9707E630F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Permiso sin goce Examen cierre cuatrimestre 12/08</t>
        </r>
      </text>
    </comment>
  </commentList>
</comments>
</file>

<file path=xl/comments3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tc={C2DDB077-9624-4B89-B402-A8DB812D06BF}</author>
    <author>AuxContabilidad</author>
  </authors>
  <commentList>
    <comment ref="L8" authorId="0" shapeId="0" xr:uid="{BCD06A13-1AFF-4FC3-95A9-DF088B0D3E5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22 y 23 /08</t>
        </r>
      </text>
    </comment>
    <comment ref="K9" authorId="0" shapeId="0" xr:uid="{2CDEDF24-7157-42D0-83CE-FB67DF2FEC4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11" authorId="0" shapeId="0" xr:uid="{BDA6E5D8-29AF-4053-80FB-B5F62FA4622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22 y 23 /08</t>
        </r>
      </text>
    </comment>
    <comment ref="K14" authorId="0" shapeId="0" xr:uid="{D8D52090-5DEF-4E07-B55A-583F720149A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6" authorId="0" shapeId="0" xr:uid="{57FB70E5-F108-4F38-8EFD-D0548E71445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+ Permiso sin goce del 18/08</t>
        </r>
      </text>
    </comment>
    <comment ref="K17" authorId="0" shapeId="0" xr:uid="{03D85990-43F0-464E-A694-016EEBEC38A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8" authorId="1" shapeId="0" xr:uid="{17C1A8E6-2BEF-44E2-9CDC-44A19249D39C}">
      <text>
        <r>
          <rPr>
            <b/>
            <sz val="9"/>
            <color indexed="81"/>
            <rFont val="Tahoma"/>
            <family val="2"/>
          </rPr>
          <t xml:space="preserve">INFONAVIT $893.39 - NUEVA CANTIDAD ACTUALIZADA + DSCTO SEGURO POR $1,117.53 7/12 
DSCTO POR TC HONDA
$580 5/10
</t>
        </r>
      </text>
    </comment>
    <comment ref="K24" authorId="0" shapeId="0" xr:uid="{BE61A420-7AB0-4B97-A639-CC9AF9225EF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</t>
        </r>
      </text>
    </comment>
    <comment ref="K26" authorId="0" shapeId="0" xr:uid="{44834908-7C0E-4426-AECA-A520E53A140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5/52</t>
        </r>
      </text>
    </comment>
    <comment ref="K33" authorId="0" shapeId="0" xr:uid="{940ED941-C4EA-4A2B-A83E-4B265861114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4" authorId="0" shapeId="0" xr:uid="{8A1D5A9C-97EA-4E0D-BD9B-D6F41C7E439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Infonavit+ B.A y B.A + 60% 18/08</t>
        </r>
      </text>
    </comment>
    <comment ref="K35" authorId="0" shapeId="0" xr:uid="{DC5F8175-2B54-4394-917C-A754976D3F5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35" authorId="0" shapeId="0" xr:uid="{8F94FDE5-3147-4452-84FB-3F3F84D918A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18 y 19 /08</t>
        </r>
      </text>
    </comment>
    <comment ref="K37" authorId="0" shapeId="0" xr:uid="{C92CFD83-8250-4687-8819-2B61BBFA9D4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2" authorId="0" shapeId="0" xr:uid="{0E1C670E-4226-4A38-BAA0-D23D9333D67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Acudió al medico el 18/08 al 60%</t>
        </r>
      </text>
    </comment>
    <comment ref="K44" authorId="0" shapeId="0" xr:uid="{5A3F9EB5-31A3-4724-ADE8-1D29D8BD9CC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48" authorId="2" shapeId="0" xr:uid="{C2DDB077-9624-4B89-B402-A8DB812D06B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Reembolso por Linkedin dos meses julio y agosto
Reply:
    Bono por referido: 
Alberto Hernández Islas $1,500.00
Héctor Gerardo Reyna Martíez $1,500.00
Ávaro Javier Ramírez Sansores $1,500.00
</t>
      </text>
    </comment>
    <comment ref="K50" authorId="0" shapeId="0" xr:uid="{4F6F32A0-36D6-4D3D-910B-A662C96A942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Acudió al medico el 18/08 al 60%</t>
        </r>
      </text>
    </comment>
    <comment ref="K52" authorId="0" shapeId="0" xr:uid="{7E27C586-20A4-4B31-9042-CAD4FADB598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53" authorId="3" shapeId="0" xr:uid="{FEF08EA1-B63D-4CF1-9774-E3B2EE52ADCB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 </t>
        </r>
      </text>
    </comment>
    <comment ref="K54" authorId="0" shapeId="0" xr:uid="{B2F57835-4B59-41D8-925E-FDEB311DAE8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Acto académico el 22/08</t>
        </r>
      </text>
    </comment>
  </commentList>
</comments>
</file>

<file path=xl/comments3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tc={0026E17C-4969-40EE-A71D-269BBFD529C4}</author>
    <author>AuxContabilidad</author>
  </authors>
  <commentList>
    <comment ref="K8" authorId="0" shapeId="0" xr:uid="{9A480E8A-015F-4B38-984C-FBFC48EDB2E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Acudió al médico el 25/08 al 60%</t>
        </r>
      </text>
    </comment>
    <comment ref="K9" authorId="0" shapeId="0" xr:uid="{DCF5A8FC-6F9C-4D55-AF85-DDBC97FEEEB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4" authorId="0" shapeId="0" xr:uid="{B6D735D5-36BB-46D3-AB68-FFBF76A8884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 + 60% el 25/08</t>
        </r>
      </text>
    </comment>
    <comment ref="K17" authorId="0" shapeId="0" xr:uid="{8FF80AE5-EA16-48C3-B6B7-68F816EBF71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17" authorId="0" shapeId="0" xr:uid="{FAE9F7BC-CD66-4496-A292-5AEC9861C4D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25/08 al 30/08</t>
        </r>
      </text>
    </comment>
    <comment ref="K18" authorId="1" shapeId="0" xr:uid="{26CAAEF1-A22B-47A9-BBD0-28E0E16C3EC6}">
      <text>
        <r>
          <rPr>
            <b/>
            <sz val="9"/>
            <color indexed="81"/>
            <rFont val="Tahoma"/>
            <family val="2"/>
          </rPr>
          <t xml:space="preserve">INFONAVIT $893.39 - NUEVA CANTIDAD ACTUALIZADA + DSCTO SEGURO POR $1,117.53 8/12 
DSCTO POR TC HONDA
$580 6/10
</t>
        </r>
      </text>
    </comment>
    <comment ref="K19" authorId="0" shapeId="0" xr:uid="{9FCB6A8C-A2A3-40BB-8EF7-FEC4D2D9155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Permiso sin goce el 27/08</t>
        </r>
      </text>
    </comment>
    <comment ref="L21" authorId="0" shapeId="0" xr:uid="{28D0A8CB-0A77-4FF4-8ADA-11A2AB3A31F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27/08 al 30/08</t>
        </r>
      </text>
    </comment>
    <comment ref="K24" authorId="0" shapeId="0" xr:uid="{41F0D275-7722-44D5-8D53-5D15597FC03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</t>
        </r>
      </text>
    </comment>
    <comment ref="K26" authorId="0" shapeId="0" xr:uid="{6199C374-5F2F-4056-82A7-7385A9B9CC0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6/52</t>
        </r>
      </text>
    </comment>
    <comment ref="K29" authorId="0" shapeId="0" xr:uid="{D65092BB-932F-4FE9-8F08-667C221F723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33" authorId="0" shapeId="0" xr:uid="{C58B9460-F595-423C-AB4E-E8E333E9CB2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4" authorId="0" shapeId="0" xr:uid="{8AA24C55-57CE-4F80-83FD-30FEFF7BA79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Infonavit+ B.A y B.A</t>
        </r>
      </text>
    </comment>
    <comment ref="L38" authorId="0" shapeId="0" xr:uid="{696E5E2E-2B93-4981-8A26-7782BC97C31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27/08 al 08/09</t>
        </r>
      </text>
    </comment>
    <comment ref="L48" authorId="2" shapeId="0" xr:uid="{0026E17C-4969-40EE-A71D-269BBFD529C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Bono por referido
Reply:
    RIVAS Y GUTIERREZ MARIANA VILLASEÑOR
</t>
      </text>
    </comment>
    <comment ref="K53" authorId="3" shapeId="0" xr:uid="{56CD5D34-BA78-48B2-BADB-68F5E4708D13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 </t>
        </r>
      </text>
    </comment>
  </commentList>
</comments>
</file>

<file path=xl/comments3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tc={A07C5CA2-C797-42CB-A256-F9D986C859EA}</author>
    <author>Auxiliar de RH 1</author>
    <author>Dell</author>
    <author>tc={7073CDFD-3121-4EB5-8907-AC3721C65FB8}</author>
    <author>tc={80E42D4A-4A6A-4C6F-817F-999AB72B4E46}</author>
    <author>AuxContabilidad</author>
  </authors>
  <commentList>
    <comment ref="K6" authorId="0" shapeId="0" xr:uid="{A07C5CA2-C797-42CB-A256-F9D986C859EA}">
      <text>
        <t>[Threaded comment]
Your version of Excel allows you to read this threaded comment; however, any edits to it will get removed if the file is opened in a newer version of Excel. Learn more: https://go.microsoft.com/fwlink/?linkid=870924
Comment:
    03-09-2025 Sí tomo el día de vacaciones</t>
      </text>
    </comment>
    <comment ref="L6" authorId="1" shapeId="0" xr:uid="{127221DC-EF7A-431A-8E89-A0F93848E3D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1 semana de vacaciones, se paga pero se tomó 1 día de vacaciones 03-09-2025
</t>
        </r>
      </text>
    </comment>
    <comment ref="K11" authorId="1" shapeId="0" xr:uid="{9A7087E1-6F07-401E-B8AB-8C0BDB197E9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al 60% el 01/09</t>
        </r>
      </text>
    </comment>
    <comment ref="L11" authorId="1" shapeId="0" xr:uid="{592B2D04-7C32-4750-B199-B63CF0E9AB5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1 semana de vacaciones del 05/09 al 10/09</t>
        </r>
      </text>
    </comment>
    <comment ref="K14" authorId="1" shapeId="0" xr:uid="{BD72A295-ADD6-41E7-9814-F17E0257C64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18" authorId="2" shapeId="0" xr:uid="{1C24F8EF-1F27-45D2-AF19-9CED794F44D7}">
      <text>
        <r>
          <rPr>
            <b/>
            <sz val="9"/>
            <color indexed="81"/>
            <rFont val="Tahoma"/>
            <family val="2"/>
          </rPr>
          <t xml:space="preserve">INFONAVIT $893.39 - NUEVA CANTIDAD ACTUALIZADA + DSCTO SEGURO POR $1,117.53 9/12 
DSCTO POR TC HONDA
$580 7/10
</t>
        </r>
      </text>
    </comment>
    <comment ref="K24" authorId="1" shapeId="0" xr:uid="{8BC89781-1D8D-42DD-B8B2-BEE384D63F5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</t>
        </r>
      </text>
    </comment>
    <comment ref="K26" authorId="1" shapeId="0" xr:uid="{67891AB8-AB9B-4D95-AFE3-1AC0BA35F3D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7/52</t>
        </r>
      </text>
    </comment>
    <comment ref="L29" authorId="1" shapeId="0" xr:uid="{BC5BDD93-4F08-461B-9832-00C6EE6B66A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 descontado por error la semana pasada</t>
        </r>
      </text>
    </comment>
    <comment ref="K33" authorId="1" shapeId="0" xr:uid="{F13D0885-273E-452B-8791-AB9A051F131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4" authorId="1" shapeId="0" xr:uid="{56BE5048-3281-49A9-B510-E2FC86C688E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Infonavit+ B.P y B.A</t>
        </r>
      </text>
    </comment>
    <comment ref="K36" authorId="1" shapeId="0" xr:uid="{21093E5B-E1A3-4C86-8979-4646D351069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al 60% 01/09</t>
        </r>
      </text>
    </comment>
    <comment ref="K38" authorId="3" shapeId="0" xr:uid="{7073CDFD-3121-4EB5-8907-AC3721C65FB8}">
      <text>
        <t>[Threaded comment]
Your version of Excel allows you to read this threaded comment; however, any edits to it will get removed if the file is opened in a newer version of Excel. Learn more: https://go.microsoft.com/fwlink/?linkid=870924
Comment:
    De vacaciones</t>
      </text>
    </comment>
    <comment ref="K39" authorId="1" shapeId="0" xr:uid="{7BB7DAC8-E1A9-4EF2-A641-0A69D2462FC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</t>
        </r>
      </text>
    </comment>
    <comment ref="K42" authorId="1" shapeId="0" xr:uid="{06C71807-35EA-4BCB-8B8A-DDE5D066A5C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Incapacidad de 8 días
Primera de un día 01/09
Segunda de 7 días a partir del 02/09</t>
        </r>
      </text>
    </comment>
    <comment ref="K44" authorId="1" shapeId="0" xr:uid="{869F81B9-2F6C-48E9-BAAC-58C4C318F95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</t>
        </r>
      </text>
    </comment>
    <comment ref="K46" authorId="1" shapeId="0" xr:uid="{5277B7D3-DEDD-4B7D-9A00-11FD4D5BD1C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L48" authorId="4" shapeId="0" xr:uid="{80E42D4A-4A6A-4C6F-817F-999AB72B4E4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Bono por referido Galilea de Lucio María del Pilar
Harold Jehová Vázquez </t>
      </text>
    </comment>
    <comment ref="K51" authorId="1" shapeId="0" xr:uid="{FDAE7600-0CCE-4B33-9CA8-51889E8CA24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al 60% 03/09</t>
        </r>
      </text>
    </comment>
    <comment ref="K53" authorId="5" shapeId="0" xr:uid="{733B55DE-A551-4F02-A3A3-B17883F9C3D6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 + Día al 60% 01/09</t>
        </r>
      </text>
    </comment>
    <comment ref="K58" authorId="1" shapeId="0" xr:uid="{992E050D-C7CC-4241-97C0-822808B7665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Permiso sin goce, temas familiares 03/09</t>
        </r>
      </text>
    </comment>
  </commentList>
</comments>
</file>

<file path=xl/comments3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tc={C0797AD2-5502-4382-8059-950A4B5D6F33}</author>
    <author>Auxiliar de RH 1</author>
    <author>tc={CEA18425-842C-4AD1-A794-B56990EB105B}</author>
    <author>tc={6A66687C-D2C8-431E-B585-CD8CF83EE0DC}</author>
    <author>Dell</author>
    <author>AuxContabilidad</author>
  </authors>
  <commentList>
    <comment ref="K6" authorId="0" shapeId="0" xr:uid="{C0797AD2-5502-4382-8059-950A4B5D6F33}">
      <text>
        <t>[Threaded comment]
Your version of Excel allows you to read this threaded comment; however, any edits to it will get removed if the file is opened in a newer version of Excel. Learn more: https://go.microsoft.com/fwlink/?linkid=870924
Comment:
    Descuento por GMM de sus hijos 3/4</t>
      </text>
    </comment>
    <comment ref="K9" authorId="1" shapeId="0" xr:uid="{934EDD72-B35A-403A-8986-AFED6A01FFF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L9" authorId="2" shapeId="0" xr:uid="{CEA18425-842C-4AD1-A794-B56990EB105B}">
      <text>
        <t>[Threaded comment]
Your version of Excel allows you to read this threaded comment; however, any edits to it will get removed if the file is opened in a newer version of Excel. Learn more: https://go.microsoft.com/fwlink/?linkid=870924
Comment:
    Bono mensual, se paga la 2da semana de cada mes hasta diciembre 2025</t>
      </text>
    </comment>
    <comment ref="K11" authorId="3" shapeId="0" xr:uid="{6A66687C-D2C8-431E-B585-CD8CF83EE0DC}">
      <text>
        <t>[Threaded comment]
Your version of Excel allows you to read this threaded comment; however, any edits to it will get removed if the file is opened in a newer version of Excel. Learn more: https://go.microsoft.com/fwlink/?linkid=870924
Comment:
    Sí tomó el 08-09-2025 pagado en la nómina #36</t>
      </text>
    </comment>
    <comment ref="L11" authorId="1" shapeId="0" xr:uid="{62DEBB9C-FFF5-4785-9047-8723AC04CE2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Regresó dos días antes de sus vacaciones, se pagan 09/09 y 10/09</t>
        </r>
      </text>
    </comment>
    <comment ref="K14" authorId="1" shapeId="0" xr:uid="{12D26AD9-4422-46C4-B62D-833A2A082CE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 y asistencia + Falta 10/09</t>
        </r>
      </text>
    </comment>
    <comment ref="K18" authorId="4" shapeId="0" xr:uid="{D83EE4F7-0322-47B0-9276-F58AC0445DC6}">
      <text>
        <r>
          <rPr>
            <b/>
            <sz val="9"/>
            <color indexed="81"/>
            <rFont val="Tahoma"/>
            <family val="2"/>
          </rPr>
          <t xml:space="preserve">INFONAVIT $893.39 - NUEVA CANTIDAD ACTUALIZADA + DSCTO SEGURO POR $1,117.53 10/12 
DSCTO POR TC HONDA
$580 8/10
</t>
        </r>
      </text>
    </comment>
    <comment ref="K24" authorId="1" shapeId="0" xr:uid="{89F264C9-E524-4D2B-8E5A-E9ECDAF3C63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</t>
        </r>
      </text>
    </comment>
    <comment ref="K26" authorId="1" shapeId="0" xr:uid="{25DE3C6A-FC19-489C-A6DD-F8B662F2711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8/52</t>
        </r>
      </text>
    </comment>
    <comment ref="L29" authorId="1" shapeId="0" xr:uid="{5601F9F1-07BF-4D87-A06C-083769268C9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los días 08/09 y 09/09</t>
        </r>
      </text>
    </comment>
    <comment ref="K33" authorId="1" shapeId="0" xr:uid="{9E7DDB52-0EAA-4012-B68A-54B63D21962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L33" authorId="1" shapeId="0" xr:uid="{2A9FC052-5C8F-4C9A-966B-985DB51B26B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el día 09/09</t>
        </r>
      </text>
    </comment>
    <comment ref="K34" authorId="1" shapeId="0" xr:uid="{BE8724D3-2E10-4BFD-8D63-3DEC0854101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L34" authorId="1" shapeId="0" xr:uid="{85D2ECF0-8022-44FA-82C1-293E9C0B751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10/09 al 16/09</t>
        </r>
      </text>
    </comment>
    <comment ref="K35" authorId="1" shapeId="0" xr:uid="{C5B3B2C4-D0FE-4F37-9EAA-44EDF2D1DB9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38" authorId="1" shapeId="0" xr:uid="{9B9D7B68-1015-4965-BA6D-7DE4674E8A6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lunes de vacaciones + Desayunos pendientes de descontar antes de que saliera de vacaciones</t>
        </r>
      </text>
    </comment>
    <comment ref="L42" authorId="1" shapeId="0" xr:uid="{3F553E41-1F48-4ED8-A43C-F8AE9CFF0B9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Pagar lunes de Home Office 08/09 </t>
        </r>
      </text>
    </comment>
    <comment ref="K44" authorId="1" shapeId="0" xr:uid="{78286FB3-3C37-465F-AC20-900579B3FBF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 y Bono de asistencia</t>
        </r>
      </text>
    </comment>
    <comment ref="K45" authorId="1" shapeId="0" xr:uid="{4CC84C13-F653-45B5-8CC9-468AB4AD8C6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al 60% 04/09</t>
        </r>
      </text>
    </comment>
    <comment ref="K46" authorId="1" shapeId="0" xr:uid="{2C94AC55-12BC-4A69-B9E9-4F66D74BE51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50" authorId="1" shapeId="0" xr:uid="{18892E2E-8F25-4A95-8D30-5B6D4F93D00B}">
      <text>
        <r>
          <rPr>
            <b/>
            <sz val="9"/>
            <color indexed="81"/>
            <rFont val="Tahoma"/>
            <family val="2"/>
          </rPr>
          <t xml:space="preserve">Auxiliar de RH:
</t>
        </r>
        <r>
          <rPr>
            <sz val="9"/>
            <color indexed="81"/>
            <rFont val="Tahoma"/>
            <family val="2"/>
          </rPr>
          <t>Día al 60% el 04/09</t>
        </r>
      </text>
    </comment>
    <comment ref="K53" authorId="5" shapeId="0" xr:uid="{AF5C7382-B2E5-4AEE-8D97-2057E7BDCA17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L53" authorId="1" shapeId="0" xr:uid="{13776FC2-17E5-4F12-BE9C-11002FF9940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garantizado durante 4 meses $5,000</t>
        </r>
      </text>
    </comment>
    <comment ref="L55" authorId="1" shapeId="0" xr:uid="{58DBE28E-7C83-4B9F-AB54-E378944059B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garantizado durante tres meses $5,000</t>
        </r>
      </text>
    </comment>
    <comment ref="K57" authorId="1" shapeId="0" xr:uid="{0722C5BF-1BC7-4E34-93FE-56D95940F47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al 60% el 09/09</t>
        </r>
      </text>
    </comment>
  </commentList>
</comments>
</file>

<file path=xl/comments3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AuxContabilidad</author>
    <author>Auxiliar de RH 1</author>
    <author>Dell</author>
  </authors>
  <commentList>
    <comment ref="K6" authorId="0" shapeId="0" xr:uid="{7A44B609-3129-4641-AF80-6529CD7C36CB}">
      <text>
        <r>
          <rPr>
            <b/>
            <sz val="10"/>
            <color indexed="81"/>
            <rFont val="Tahoma"/>
            <family val="2"/>
          </rPr>
          <t>AuxContabilidad:</t>
        </r>
        <r>
          <rPr>
            <sz val="10"/>
            <color indexed="81"/>
            <rFont val="Tahoma"/>
            <family val="2"/>
          </rPr>
          <t xml:space="preserve">
Descuento por GMM de sus hijos 4/4</t>
        </r>
      </text>
    </comment>
    <comment ref="K9" authorId="1" shapeId="0" xr:uid="{C012DDDF-47DD-4C89-A75B-F1C3586272E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14" authorId="1" shapeId="0" xr:uid="{3E0BA34F-1E98-4D1C-9AFC-4B7B3F5D395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 y asistencia</t>
        </r>
      </text>
    </comment>
    <comment ref="L14" authorId="1" shapeId="0" xr:uid="{01D5B9CD-646F-4F16-8BDC-D54B8316EB7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19/09 al 25/02</t>
        </r>
      </text>
    </comment>
    <comment ref="K18" authorId="2" shapeId="0" xr:uid="{000DD285-4969-427C-B16D-39DCE58EACCB}">
      <text>
        <r>
          <rPr>
            <b/>
            <sz val="9"/>
            <color indexed="81"/>
            <rFont val="Tahoma"/>
            <family val="2"/>
          </rPr>
          <t xml:space="preserve">INFONAVIT $893.39 - NUEVA CANTIDAD ACTUALIZADA + DSCTO SEGURO POR $1,117.53 11/12 
DSCTO POR TC HONDA
$580 9/10
</t>
        </r>
      </text>
    </comment>
    <comment ref="L20" authorId="1" shapeId="0" xr:uid="{A8964CC0-2549-4088-8844-C70A65C97BB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de vacaciones 15/09</t>
        </r>
      </text>
    </comment>
    <comment ref="K24" authorId="1" shapeId="0" xr:uid="{8B262827-4C2E-4DDB-8F97-BB416B8B8C9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 + bono de puntualidad 293.92</t>
        </r>
      </text>
    </comment>
    <comment ref="K26" authorId="1" shapeId="0" xr:uid="{B9F44BE3-FA67-4C7D-A276-8835A86B4E5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9/52</t>
        </r>
      </text>
    </comment>
    <comment ref="L32" authorId="1" shapeId="0" xr:uid="{071162A3-AFD1-4ED7-B7E2-C5962ACEB4D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15/09 al 22/09</t>
        </r>
      </text>
    </comment>
    <comment ref="K33" authorId="1" shapeId="0" xr:uid="{E41889D8-A258-44A3-AE6C-B8A6084051E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4" authorId="1" shapeId="0" xr:uid="{E7B8D44B-FC4D-49CF-B2CB-0FB6E02F6A4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+ 1 día pagado de vacaciones
</t>
        </r>
      </text>
    </comment>
    <comment ref="L36" authorId="1" shapeId="0" xr:uid="{A8CB733A-7BA1-430E-8C99-033EAA26C69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el 15/09</t>
        </r>
      </text>
    </comment>
    <comment ref="K39" authorId="1" shapeId="0" xr:uid="{675F2198-3E4D-43EC-8940-A5F402BB45B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puntualidad. Bono de asistencia</t>
        </r>
      </text>
    </comment>
    <comment ref="K44" authorId="1" shapeId="0" xr:uid="{89371B7D-4AD4-4640-A2DB-E7EBFC75354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53" authorId="0" shapeId="0" xr:uid="{21269D37-99B8-4FD7-800D-5720F7A5EDAC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63" authorId="0" shapeId="0" xr:uid="{07E5BF60-C563-45B8-878F-17973656ADD1}">
      <text>
        <r>
          <rPr>
            <b/>
            <sz val="10"/>
            <color indexed="81"/>
            <rFont val="Tahoma"/>
            <family val="2"/>
          </rPr>
          <t>AuxContabilidad:</t>
        </r>
        <r>
          <rPr>
            <sz val="10"/>
            <color indexed="81"/>
            <rFont val="Tahoma"/>
            <family val="2"/>
          </rPr>
          <t xml:space="preserve">
Entro a trabajar el 18/09/2025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</authors>
  <commentList>
    <comment ref="K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de INFONAVIT + DSCTO B.P 294.59
</t>
        </r>
      </text>
    </comment>
    <comment ref="K9" authorId="0" shapeId="0" xr:uid="{00000000-0006-0000-0300-000002000000}">
      <text>
        <r>
          <rPr>
            <sz val="9"/>
            <color indexed="81"/>
            <rFont val="Tahoma"/>
            <family val="2"/>
          </rPr>
          <t xml:space="preserve">Préstamo FONACOT </t>
        </r>
      </text>
    </comment>
    <comment ref="K12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4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8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9" authorId="1" shapeId="0" xr:uid="{00000000-0006-0000-0300-000006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1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19/40</t>
        </r>
      </text>
    </comment>
    <comment ref="I26" authorId="0" shapeId="0" xr:uid="{00000000-0006-0000-03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comedor 375  + 35.36 (Diferencia contpaq)</t>
        </r>
      </text>
    </comment>
    <comment ref="K26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36" authorId="0" shapeId="0" xr:uid="{00000000-0006-0000-03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37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8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</t>
        </r>
      </text>
    </comment>
    <comment ref="K42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4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8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20/01 PSG $835.71</t>
        </r>
      </text>
    </comment>
    <comment ref="K56" authorId="0" shapeId="0" xr:uid="{00000000-0006-0000-0300-000010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Fecha de ingreso 21/01</t>
        </r>
      </text>
    </comment>
  </commentList>
</comments>
</file>

<file path=xl/comments4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AuxContabilidad</author>
    <author>Dell</author>
    <author>tc={0358499B-0DE8-40CC-B75B-6B312078A717}</author>
  </authors>
  <commentList>
    <comment ref="K9" authorId="0" shapeId="0" xr:uid="{E9A491CD-B1D4-4183-8230-5DD40876867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 Y BONO DE ASISTENCIA
</t>
        </r>
      </text>
    </comment>
    <comment ref="K12" authorId="0" shapeId="0" xr:uid="{2798F5EB-179B-4BB7-9CD6-F22A4E9211A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AL 60% 18/09/2025</t>
        </r>
      </text>
    </comment>
    <comment ref="K14" authorId="1" shapeId="0" xr:uid="{32482466-02BE-411E-BAA1-F4F4D4064652}">
      <text>
        <r>
          <rPr>
            <b/>
            <sz val="10"/>
            <color indexed="81"/>
            <rFont val="Tahoma"/>
            <family val="2"/>
          </rPr>
          <t>AuxContabilidad:</t>
        </r>
        <r>
          <rPr>
            <sz val="10"/>
            <color indexed="81"/>
            <rFont val="Tahoma"/>
            <family val="2"/>
          </rPr>
          <t xml:space="preserve">
4 días pagados de vacaciones en nómina #38
</t>
        </r>
      </text>
    </comment>
    <comment ref="K17" authorId="0" shapeId="0" xr:uid="{F2955EDB-2603-4E74-997C-5BB9A793E9C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AL 60% 18/09/2025 + BONO DE PUNTUALIDAD</t>
        </r>
      </text>
    </comment>
    <comment ref="K18" authorId="2" shapeId="0" xr:uid="{B96788AE-158F-47FD-8085-5789D3A752B1}">
      <text>
        <r>
          <rPr>
            <b/>
            <sz val="9"/>
            <color indexed="81"/>
            <rFont val="Tahoma"/>
            <family val="2"/>
          </rPr>
          <t xml:space="preserve">INFONAVIT $908.03 - NUEVA CANTIDAD ACTUALIZADA + DSCTO SEGURO POR $1,117.53 12/12 
DSCTO POR TC HONDA
$580 10/10
</t>
        </r>
      </text>
    </comment>
    <comment ref="K24" authorId="0" shapeId="0" xr:uid="{BEDE96F8-9CC2-4772-B7F0-7405873E04B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</t>
        </r>
      </text>
    </comment>
    <comment ref="K26" authorId="0" shapeId="0" xr:uid="{6A40848F-47CA-4686-B678-4CC2AB7289B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10/52 + BONO DE PUNTUALIDAD</t>
        </r>
      </text>
    </comment>
    <comment ref="K32" authorId="1" shapeId="0" xr:uid="{8AD3D4CB-1FF0-4616-A44A-A9AF8C72FBB1}">
      <text>
        <r>
          <rPr>
            <b/>
            <sz val="10"/>
            <color indexed="81"/>
            <rFont val="Tahoma"/>
            <family val="2"/>
          </rPr>
          <t>AuxContabilidad:</t>
        </r>
        <r>
          <rPr>
            <sz val="10"/>
            <color indexed="81"/>
            <rFont val="Tahoma"/>
            <family val="2"/>
          </rPr>
          <t xml:space="preserve">
1 día de vacaciones pagada en la nómina #38</t>
        </r>
      </text>
    </comment>
    <comment ref="K33" authorId="0" shapeId="0" xr:uid="{0751F437-969B-47A6-A271-00680E9D7B5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4" authorId="0" shapeId="0" xr:uid="{E130BB4E-5589-4314-8125-BA99242B559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</t>
        </r>
      </text>
    </comment>
    <comment ref="K35" authorId="0" shapeId="0" xr:uid="{6F9CBA36-725F-48E9-8772-92A42BFAE11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</t>
        </r>
      </text>
    </comment>
    <comment ref="L35" authorId="0" shapeId="0" xr:uid="{B0887C02-C03B-47EB-8AED-FF4867B5899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DE VACACIONES EL 22/09/2025</t>
        </r>
      </text>
    </comment>
    <comment ref="K41" authorId="3" shapeId="0" xr:uid="{0358499B-0DE8-40CC-B75B-6B312078A71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2 días de vacaciones pagadas en la nomina #38
</t>
      </text>
    </comment>
    <comment ref="K42" authorId="0" shapeId="0" xr:uid="{4DE38032-626C-46A1-986F-A4AC30FD7A2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AL 60% 22/09/2025</t>
        </r>
      </text>
    </comment>
    <comment ref="K44" authorId="0" shapeId="0" xr:uid="{E8713508-00E0-48BA-A6D0-930FE214860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 Y BONO DE ASISTENCIA</t>
        </r>
      </text>
    </comment>
    <comment ref="L48" authorId="1" shapeId="0" xr:uid="{E628F415-299F-4B2B-9220-EDE2219E2A77}">
      <text>
        <r>
          <rPr>
            <b/>
            <sz val="10"/>
            <color indexed="81"/>
            <rFont val="Tahoma"/>
            <family val="2"/>
          </rPr>
          <t>AuxContabilidad:</t>
        </r>
        <r>
          <rPr>
            <sz val="10"/>
            <color indexed="81"/>
            <rFont val="Tahoma"/>
            <family val="2"/>
          </rPr>
          <t xml:space="preserve">
Bono por referido, Roberto Flores Ramos</t>
        </r>
      </text>
    </comment>
    <comment ref="K53" authorId="1" shapeId="0" xr:uid="{F4E0873C-B52D-48EB-B638-6CE129564BBF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4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AuxContabilidad</author>
  </authors>
  <commentList>
    <comment ref="K9" authorId="0" shapeId="0" xr:uid="{6C656A5E-3F68-4A4B-8BCF-327F180A152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</t>
        </r>
      </text>
    </comment>
    <comment ref="L14" authorId="0" shapeId="0" xr:uid="{55C376DF-D58E-4A12-BA51-CD2484899C0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Regresó un día antes de sus vacaciones, el jueves 25</t>
        </r>
      </text>
    </comment>
    <comment ref="K17" authorId="0" shapeId="0" xr:uid="{6205BFC8-261A-4424-98C9-3BCADAD15A0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18" authorId="0" shapeId="0" xr:uid="{20D05E51-0340-47F0-885C-3C32798A6F5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Terminó de pagar su prestamo la nómina pasada
INFONAVIT</t>
        </r>
      </text>
    </comment>
    <comment ref="K24" authorId="0" shapeId="0" xr:uid="{18228BD7-6255-4ACB-AE7D-392E23179A2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
Descuentos de comedor pendientes de la semana pasada.</t>
        </r>
      </text>
    </comment>
    <comment ref="K26" authorId="0" shapeId="0" xr:uid="{AAF1B19E-B0A4-4533-B12C-7681781A647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11/52</t>
        </r>
      </text>
    </comment>
    <comment ref="K33" authorId="0" shapeId="0" xr:uid="{3F4B62DF-530B-4244-8F6C-7F967B04E12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4" authorId="0" shapeId="0" xr:uid="{38620AD2-A40D-408C-891D-1C315FCD5ED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Bono de puntualidad
</t>
        </r>
      </text>
    </comment>
    <comment ref="K35" authorId="0" shapeId="0" xr:uid="{66F72033-20C1-4468-B70D-585ADD3AA57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 y 
Bono de asistencia</t>
        </r>
      </text>
    </comment>
    <comment ref="K39" authorId="0" shapeId="0" xr:uid="{E99158EB-3CAC-4775-98B4-1C88D0194DC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43" authorId="0" shapeId="0" xr:uid="{D683061F-FDEE-4543-8937-EEDA4219671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L47" authorId="0" shapeId="0" xr:uid="{E5D158C3-69EE-47D2-86DC-6F8443CBE39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referido $1,500</t>
        </r>
      </text>
    </comment>
    <comment ref="L48" authorId="0" shapeId="0" xr:uid="{BE597632-436A-4476-9421-F4811D898BD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referido de $1,500</t>
        </r>
      </text>
    </comment>
    <comment ref="K53" authorId="1" shapeId="0" xr:uid="{BC6C4F0C-96DD-4D75-9C6B-A20B8EBE72BD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L54" authorId="0" shapeId="0" xr:uid="{712D179D-CBE5-4D38-815D-D233720DEA2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Último bono garantizado</t>
        </r>
      </text>
    </comment>
    <comment ref="K57" authorId="0" shapeId="0" xr:uid="{6C08925B-F611-4552-AD36-29AE1EFA05C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</t>
        </r>
      </text>
    </comment>
  </commentList>
</comments>
</file>

<file path=xl/comments4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tc={3AA0C27A-9E18-4661-A08D-5ADA0D6D7A56}</author>
    <author>Auxiliar de RH 1</author>
    <author>tc={2283B157-BF3F-4A87-9A0C-356E5178B674}</author>
    <author>tc={88D1FF2D-5D3B-44A0-91EB-E115B579A072}</author>
    <author>AuxContabilidad</author>
  </authors>
  <commentList>
    <comment ref="L8" authorId="0" shapeId="0" xr:uid="{3AA0C27A-9E18-4661-A08D-5ADA0D6D7A56}">
      <text>
        <t>[Threaded comment]
Your version of Excel allows you to read this threaded comment; however, any edits to it will get removed if the file is opened in a newer version of Excel. Learn more: https://go.microsoft.com/fwlink/?linkid=870924
Comment:
    Bono mensual, se paga la 2da semana de cada mes hasta diciembre 2025</t>
      </text>
    </comment>
    <comment ref="K11" authorId="1" shapeId="0" xr:uid="{1F6AC7D5-E455-4498-9DB9-4ADBE28B742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L12" authorId="1" shapeId="0" xr:uid="{F6CA3EF2-89FE-486A-AA92-96DD02A2A1F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UN DÍA DE VACACIONES EL 07/10/2025</t>
        </r>
      </text>
    </comment>
    <comment ref="K13" authorId="1" shapeId="0" xr:uid="{65B9BD81-1358-49BD-B4B3-5C9E3613884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16" authorId="1" shapeId="0" xr:uid="{6363BE30-0573-4943-83F7-DE758FD0AFF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17" authorId="1" shapeId="0" xr:uid="{FA4420F5-1A08-4963-B24A-ADF1438F2B9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21" authorId="1" shapeId="0" xr:uid="{EC5634F3-D8A4-4341-B584-67F254955D7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L21" authorId="2" shapeId="0" xr:uid="{2283B157-BF3F-4A87-9A0C-356E5178B674}">
      <text>
        <t>[Threaded comment]
Your version of Excel allows you to read this threaded comment; however, any edits to it will get removed if the file is opened in a newer version of Excel. Learn more: https://go.microsoft.com/fwlink/?linkid=870924
Comment:
    Prima vacacional del 06 al 08 de octubre</t>
      </text>
    </comment>
    <comment ref="K23" authorId="1" shapeId="0" xr:uid="{9D5BF5EB-B2C1-4313-83D6-BF7C57C417E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
</t>
        </r>
      </text>
    </comment>
    <comment ref="K24" authorId="1" shapeId="0" xr:uid="{91555CB7-E0C0-48E1-AA3B-1A7713623E8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</t>
        </r>
      </text>
    </comment>
    <comment ref="K25" authorId="1" shapeId="0" xr:uid="{1A3F2334-DE39-4741-BEF0-3735136398F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12/52
+ Bono de puntualidad
</t>
        </r>
      </text>
    </comment>
    <comment ref="K28" authorId="3" shapeId="0" xr:uid="{88D1FF2D-5D3B-44A0-91EB-E115B579A07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Descuento de Fonacot 610.33, por esta ocasión se le descontarán 2 semanas juntas porque la semana pasada no se le descontó. </t>
      </text>
    </comment>
    <comment ref="K32" authorId="1" shapeId="0" xr:uid="{4A46ABD8-A562-45B7-86F8-3D3AB6BB95F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3" authorId="1" shapeId="0" xr:uid="{EC402D6C-D11C-480C-B57C-4C1316D88A5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+ Bono de puntualidad</t>
        </r>
      </text>
    </comment>
    <comment ref="K34" authorId="1" shapeId="0" xr:uid="{94723C41-641C-40BE-AF34-9E20BD2DC5E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43" authorId="1" shapeId="0" xr:uid="{06F5F053-366F-4E41-B6E2-C2DB16212A0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45" authorId="1" shapeId="0" xr:uid="{4A67B6D2-A277-49BF-97C0-CA1A44185C9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52" authorId="4" shapeId="0" xr:uid="{ADFAE2C4-4111-403E-8FEA-9969B2528814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L52" authorId="1" shapeId="0" xr:uid="{E73BDFE8-88C6-4044-883E-6F9DA4B52E1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Último bono garantizado</t>
        </r>
      </text>
    </comment>
    <comment ref="K58" authorId="1" shapeId="0" xr:uid="{3540FEE3-5313-4DA0-9808-AC70D8D879A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puntualdiad</t>
        </r>
      </text>
    </comment>
  </commentList>
</comments>
</file>

<file path=xl/comments4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AuxContabilidad</author>
  </authors>
  <commentList>
    <comment ref="K8" authorId="0" shapeId="0" xr:uid="{EC8F1F84-ED40-49BC-BBF3-ED5EC522EA9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L8" authorId="0" shapeId="0" xr:uid="{0D1E9621-14FE-4962-BE32-92E4E1F0A90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17 AL 18 DE OCTUBRE</t>
        </r>
      </text>
    </comment>
    <comment ref="L11" authorId="0" shapeId="0" xr:uid="{EE7B2F2E-2759-45A2-B3E0-31757A78827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13 AL 16 DE OCTUBRE</t>
        </r>
      </text>
    </comment>
    <comment ref="K13" authorId="0" shapeId="0" xr:uid="{C130BC7B-740F-4877-9198-3E0A30FE6F6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L13" authorId="0" shapeId="0" xr:uid="{27D28D4D-154B-4449-8158-70C0D3B14D7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UN DÍA DE VACACIONES 15/10/2025</t>
        </r>
      </text>
    </comment>
    <comment ref="K16" authorId="0" shapeId="0" xr:uid="{2B8449C3-5CBE-47F2-993B-EE95EAD1D1E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FALTA EL 13/10/2025</t>
        </r>
      </text>
    </comment>
    <comment ref="K17" authorId="0" shapeId="0" xr:uid="{FA1C3AED-5BCF-443F-B90D-474CAABB44D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INFONATIV</t>
        </r>
      </text>
    </comment>
    <comment ref="K23" authorId="0" shapeId="0" xr:uid="{70C90FD9-4C8E-490B-A15A-D989B220EFD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
+ BONO DE PUNTUALIDAD + FALTA EL 16/10/2025</t>
        </r>
      </text>
    </comment>
    <comment ref="L24" authorId="0" shapeId="0" xr:uid="{D045DEA1-5480-44E3-8722-B63B57BB5D0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13 AL 16 DE OCTUBRE</t>
        </r>
      </text>
    </comment>
    <comment ref="K25" authorId="0" shapeId="0" xr:uid="{B4721314-293E-43AC-B304-CFABE884496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13/52
+ Bono de puntualidad
</t>
        </r>
      </text>
    </comment>
    <comment ref="K28" authorId="1" shapeId="0" xr:uid="{CECF2457-C743-4E5A-9145-0549EF34F683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FONACOT
</t>
        </r>
      </text>
    </comment>
    <comment ref="L29" authorId="1" shapeId="0" xr:uid="{51349014-D6B1-42C5-8EDD-447459616EB5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Diferencia del bono
</t>
        </r>
      </text>
    </comment>
    <comment ref="K32" authorId="0" shapeId="0" xr:uid="{7C09AA85-2339-4986-80CC-1D4F80B297F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3" authorId="0" shapeId="0" xr:uid="{8953A66A-D2F4-455A-BD33-E9D70922DA9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+ Bono de puntualidad y Bono de asistencia</t>
        </r>
      </text>
    </comment>
    <comment ref="K34" authorId="0" shapeId="0" xr:uid="{DF709DB6-20A0-4781-8118-6AFDEB96DF6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K38" authorId="0" shapeId="0" xr:uid="{F18FDA57-3A7C-49FF-8524-50720772BC5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K45" authorId="0" shapeId="0" xr:uid="{899F430B-25A5-4E18-AD50-26B8A890CDE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L46" authorId="1" shapeId="0" xr:uid="{85715465-ED64-4824-8BA7-4AEF252D9656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Reembolso Linkedin</t>
        </r>
      </text>
    </comment>
    <comment ref="L47" authorId="1" shapeId="0" xr:uid="{C6B29545-4612-4774-9D3F-015F2C28AAC1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Bono reclutador 
Christopher Bosse $1,500.00
Linkedin reembolso $1,043.99</t>
        </r>
      </text>
    </comment>
    <comment ref="K52" authorId="1" shapeId="0" xr:uid="{E9049723-8B64-4AEB-A3B7-C61B74F7AC07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4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AuxContabilidad</author>
  </authors>
  <commentList>
    <comment ref="K8" authorId="0" shapeId="0" xr:uid="{C1E25D07-E3E3-4789-B421-E0203AD2ECC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L8" authorId="0" shapeId="0" xr:uid="{A245E0AD-5A60-4755-8DA1-6431CF3569F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22 AL 27 DE OCTUBRE</t>
        </r>
      </text>
    </comment>
    <comment ref="K13" authorId="0" shapeId="0" xr:uid="{BBF08CBA-58EF-4C3F-8014-614944B5A08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K15" authorId="0" shapeId="0" xr:uid="{F40B1150-1741-422B-BDA3-03A96869F00D}">
      <text>
        <r>
          <rPr>
            <b/>
            <sz val="9"/>
            <color indexed="81"/>
            <rFont val="Tahoma"/>
            <family val="2"/>
          </rPr>
          <t xml:space="preserve">Auxiliar de RH 1:
</t>
        </r>
        <r>
          <rPr>
            <sz val="9"/>
            <color indexed="81"/>
            <rFont val="Tahoma"/>
            <family val="2"/>
          </rPr>
          <t>BONO DE PUNTUALIDAD
BONO DE ASISTENCIA</t>
        </r>
      </text>
    </comment>
    <comment ref="L15" authorId="0" shapeId="0" xr:uid="{32A6EFA4-3FF5-4591-8FD0-8B4E19BFAA7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20 AL 24 DE OCTUBRE</t>
        </r>
      </text>
    </comment>
    <comment ref="K16" authorId="0" shapeId="0" xr:uid="{00960BED-59B2-4D54-9599-56040E7A7D8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17" authorId="0" shapeId="0" xr:uid="{6CD44E24-E489-4601-9F5D-30EB31EB8A0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</t>
        </r>
      </text>
    </comment>
    <comment ref="K23" authorId="0" shapeId="0" xr:uid="{B8E319FB-BD0F-4247-9C9F-91D897688E9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
</t>
        </r>
      </text>
    </comment>
    <comment ref="K25" authorId="0" shapeId="0" xr:uid="{F0CFEA53-4221-4DCC-834D-231940D9F14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14/52
</t>
        </r>
      </text>
    </comment>
    <comment ref="L25" authorId="0" shapeId="0" xr:uid="{01113BBF-5769-446E-93C8-26E97D8E5AD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UN DÍA DE VACACIONES 23/10/2025</t>
        </r>
      </text>
    </comment>
    <comment ref="K28" authorId="1" shapeId="0" xr:uid="{CCC41AA3-AEFF-407F-90AA-7262D1E7BA2F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FONACOT
</t>
        </r>
      </text>
    </comment>
    <comment ref="K32" authorId="0" shapeId="0" xr:uid="{B75D485B-292C-41BD-BB64-9C185325D81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3" authorId="0" shapeId="0" xr:uid="{CB93FD9D-1799-40C4-963A-5DA029C29E2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</t>
        </r>
      </text>
    </comment>
    <comment ref="K34" authorId="0" shapeId="0" xr:uid="{71EE24D4-850D-460D-BBF4-F923C62F2BA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
</t>
        </r>
      </text>
    </comment>
    <comment ref="K36" authorId="0" shapeId="0" xr:uid="{9B801034-824C-481B-B243-2B77E554BDD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43" authorId="0" shapeId="0" xr:uid="{C83EC43D-55A2-4905-872B-669404C4FA7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FALTA INJUSTIFICADA EL 20/10/2025</t>
        </r>
      </text>
    </comment>
    <comment ref="K45" authorId="0" shapeId="0" xr:uid="{453C59F7-E838-494D-88A0-F388B05DA56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52" authorId="1" shapeId="0" xr:uid="{38948327-3110-437A-875C-2DC2D5C62A14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
FALTA JUSTIFICADA EL 20/10/2025</t>
        </r>
      </text>
    </comment>
    <comment ref="K55" authorId="0" shapeId="0" xr:uid="{5A8D923B-19E4-40F9-B7D0-937BEA8A4F9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INCAPACIDAD 7 DÍAS DEL 17 AL 23 DE OCTUBRE</t>
        </r>
      </text>
    </comment>
  </commentList>
</comments>
</file>

<file path=xl/comments4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AuxContabilidad</author>
    <author>tc={F0147F1A-1C60-4325-BF82-0506B57DBD6A}</author>
    <author>tc={E4FD5CA3-11E8-4275-95BF-B5AF86AD2AFC}</author>
  </authors>
  <commentList>
    <comment ref="K5" authorId="0" shapeId="0" xr:uid="{9DDD55FA-EC23-4AF7-89E9-588A355FB11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Dos días a cuenta de vacaciones que ya se le pagaron 
31/10 y 01/11</t>
        </r>
      </text>
    </comment>
    <comment ref="K8" authorId="0" shapeId="0" xr:uid="{CBEA5998-91F6-4110-8947-4AE99641AFE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 
SU PERIODO VACACIONAL FINALIZÓ EL 28/10/2025 $571.42</t>
        </r>
      </text>
    </comment>
    <comment ref="K13" authorId="0" shapeId="0" xr:uid="{9C663B2A-C4B6-47F2-97FD-A52F1E7829D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K16" authorId="0" shapeId="0" xr:uid="{039C9CD1-E7E3-400A-B173-856AC1C05A0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K17" authorId="0" shapeId="0" xr:uid="{2A606DA7-F069-414C-B9FB-6916CE4C350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</t>
        </r>
      </text>
    </comment>
    <comment ref="K23" authorId="0" shapeId="0" xr:uid="{AD9A57EA-8906-49C9-BE8E-9A5ACEC9D18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
BONO DE PUNTUALIDAD
</t>
        </r>
      </text>
    </comment>
    <comment ref="K25" authorId="0" shapeId="0" xr:uid="{77F7EA40-ACC8-44B3-AAFF-3FE3A50FB7A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15/52
</t>
        </r>
      </text>
    </comment>
    <comment ref="K28" authorId="1" shapeId="0" xr:uid="{8AD807E3-46D7-4F4F-80B7-2891AFF1AC4F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FONACOT
</t>
        </r>
      </text>
    </comment>
    <comment ref="L28" authorId="0" shapeId="0" xr:uid="{4F0CD3E0-8B37-4237-87C0-BEE25118A7B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27 AL 31 DE OCTUBRE, SE TOMA EN CUENTA EL SÁBADO 01/11</t>
        </r>
      </text>
    </comment>
    <comment ref="K32" authorId="0" shapeId="0" xr:uid="{0E8E041C-4097-4265-B6E3-99E2E438921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3" authorId="0" shapeId="0" xr:uid="{B71DC902-A85D-40E2-AF96-AF41FEAE0DD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BONO DE PUNTUALIDAD
BONO DE ASISTENCIA
</t>
        </r>
      </text>
    </comment>
    <comment ref="K34" authorId="0" shapeId="0" xr:uid="{44F5E8FA-3A46-4A10-848A-01501816A19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K43" authorId="0" shapeId="0" xr:uid="{BEB44BEA-6645-4B7D-A19C-A324A963B36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L46" authorId="0" shapeId="0" xr:uid="{83276A7F-988B-4831-AD80-B758033F925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REFERIDO: 
OSCAR ADRIAN FONSECA</t>
        </r>
      </text>
    </comment>
    <comment ref="L47" authorId="2" shapeId="0" xr:uid="{F0147F1A-1C60-4325-BF82-0506B57DBD6A}">
      <text>
        <t>[Threaded comment]
Your version of Excel allows you to read this threaded comment; however, any edits to it will get removed if the file is opened in a newer version of Excel. Learn more: https://go.microsoft.com/fwlink/?linkid=870924
Comment:
    Bono por referido | Luis Gilberto Acuña</t>
      </text>
    </comment>
    <comment ref="K51" authorId="1" shapeId="0" xr:uid="{BC1BC829-D74D-49B9-8DEB-B71258C26FB6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
</t>
        </r>
      </text>
    </comment>
    <comment ref="K54" authorId="3" shapeId="0" xr:uid="{E4FD5CA3-11E8-4275-95BF-B5AF86AD2AF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Incapacidad 
</t>
      </text>
    </comment>
    <comment ref="L54" authorId="1" shapeId="0" xr:uid="{D3651A14-801D-4975-87E1-B6E441D22F13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Pago de diferencia de salario por incapacidad
</t>
        </r>
      </text>
    </comment>
  </commentList>
</comments>
</file>

<file path=xl/comments4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AuxContabilidad</author>
    <author>tc={BBC46736-2086-4E02-95FE-33E716311146}</author>
  </authors>
  <commentList>
    <comment ref="L4" authorId="0" shapeId="0" xr:uid="{8CF0932F-5CA5-4F0B-94A9-9CEDA5105E8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03 AL 08 DE NOVIEMBRE</t>
        </r>
      </text>
    </comment>
    <comment ref="K8" authorId="0" shapeId="0" xr:uid="{83FF2185-CBD7-4839-A52F-4E6FD41E418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
</t>
        </r>
      </text>
    </comment>
    <comment ref="K11" authorId="0" shapeId="0" xr:uid="{5B29CAAF-C305-4B71-87BF-EFB82D0BB95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</t>
        </r>
      </text>
    </comment>
    <comment ref="K13" authorId="0" shapeId="0" xr:uid="{E6A798AC-FA80-487B-9753-F48BDF51AA7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L14" authorId="0" shapeId="0" xr:uid="{72FF8336-16DA-4A40-9E2D-A3E82012EF0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05 AL 11 DE NOVIEMBRE</t>
        </r>
      </text>
    </comment>
    <comment ref="K16" authorId="0" shapeId="0" xr:uid="{BF3D2125-FBEB-40EE-9C83-2BD9CF0B010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K17" authorId="0" shapeId="0" xr:uid="{A27F8429-720B-4C79-B71D-0B2A58FE6EC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</t>
        </r>
      </text>
    </comment>
    <comment ref="K23" authorId="0" shapeId="0" xr:uid="{74D59CC5-CFDA-4E6F-A3DB-AE5CF124CD1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
BONO DE PUNTUALIDAD</t>
        </r>
      </text>
    </comment>
    <comment ref="K25" authorId="0" shapeId="0" xr:uid="{C400FDE4-8FBA-4100-8D44-973127BF2F0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17/52
</t>
        </r>
      </text>
    </comment>
    <comment ref="L25" authorId="0" shapeId="0" xr:uid="{D0B533EF-80B8-4465-A43A-1CD079E259D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EL 03/11/2025</t>
        </r>
      </text>
    </comment>
    <comment ref="K27" authorId="1" shapeId="0" xr:uid="{778E34B5-EFB8-4FDD-836F-B1F1CE2341D4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FONACOT
</t>
        </r>
      </text>
    </comment>
    <comment ref="K31" authorId="0" shapeId="0" xr:uid="{70AA37FA-6094-4B63-A3D3-7DD8103F990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2" authorId="0" shapeId="0" xr:uid="{F0A940FB-174C-450B-B0EB-979346164BE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BONO DE PUNTUALIDAD
BONO DE ASISTENCIA
</t>
        </r>
      </text>
    </comment>
    <comment ref="K33" authorId="0" shapeId="0" xr:uid="{13F9A4D0-9E36-40A2-910D-37629597ADF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35" authorId="0" shapeId="0" xr:uid="{642DF778-018F-4C4C-8220-061766A9FA6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37" authorId="0" shapeId="0" xr:uid="{6730D37E-77A9-49A1-8E5F-79951666B1C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44" authorId="0" shapeId="0" xr:uid="{AC0605EF-8F48-45DA-AA60-925B994D738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L46" authorId="0" shapeId="0" xr:uid="{F481FF23-CB4D-4521-AF99-7A6009D6B60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REFERIDO ZEPEDA AGUILAR MARIA GUADALUPE
LIZETH VIRIDIANA ALBA PAREZ
DANIEL CHAVEZ BOZAS</t>
        </r>
      </text>
    </comment>
    <comment ref="K50" authorId="1" shapeId="0" xr:uid="{0A81E9DA-C203-4D79-A33F-8D4B50C9D2D4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
</t>
        </r>
      </text>
    </comment>
    <comment ref="K53" authorId="2" shapeId="0" xr:uid="{BBC46736-2086-4E02-95FE-33E716311146}">
      <text>
        <t>[Threaded comment]
Your version of Excel allows you to read this threaded comment; however, any edits to it will get removed if the file is opened in a newer version of Excel. Learn more: https://go.microsoft.com/fwlink/?linkid=870924
Comment:
    Incapacidad</t>
      </text>
    </comment>
    <comment ref="L53" authorId="1" shapeId="0" xr:uid="{498D66CB-CCCA-46B1-B5CA-65498A62D84A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Pago de diferencia de salario por incapacidad
</t>
        </r>
      </text>
    </comment>
    <comment ref="K56" authorId="0" shapeId="0" xr:uid="{EB204F77-42DE-40A4-80B4-DB405684A76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</commentList>
</comments>
</file>

<file path=xl/comments4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AuxContabilidad</author>
    <author>tc={31C02E51-AF2C-49DA-B58B-98FF8F67D77E}</author>
    <author>tc={9508A707-AA68-406A-956D-D813C45C0381}</author>
    <author>tc={2BB0203D-FA59-4BF1-AB5D-DAAA0FC65AEA}</author>
  </authors>
  <commentList>
    <comment ref="K5" authorId="0" shapeId="0" xr:uid="{B1008487-516F-452C-99CA-1FDFA6ECF7F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ANTERIORMENTE PAGADAS 7/7 </t>
        </r>
      </text>
    </comment>
    <comment ref="L7" authorId="0" shapeId="0" xr:uid="{13DBB854-C6EE-4FC6-8F98-EAF7F8A860C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7 DÍAS DEL 13 AL 20 DE NOVIEMBRE</t>
        </r>
      </text>
    </comment>
    <comment ref="K8" authorId="0" shapeId="0" xr:uid="{10A6D03E-63B3-4309-8BF3-08A4759EB5A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FONACOT +BONO DE PUNTUALIDAD</t>
        </r>
      </text>
    </comment>
    <comment ref="L12" authorId="0" shapeId="0" xr:uid="{0472C71C-26E2-46E4-8B08-E735712B638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DOS DÍAS DE VACACIONES 10 Y 11 </t>
        </r>
      </text>
    </comment>
    <comment ref="K13" authorId="0" shapeId="0" xr:uid="{9562CC62-4DDA-4E67-AAF0-9D0C4B7A8AB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K14" authorId="0" shapeId="0" xr:uid="{D34CBBAE-BAEC-4B7C-BC76-959DE7928F0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REGRESÓ DE SUS VACACIONES EL 12/11 
VACACIONES ANTERIORMENTE PAGADAS</t>
        </r>
      </text>
    </comment>
    <comment ref="K16" authorId="0" shapeId="0" xr:uid="{9DC58941-AA0C-4A79-8901-D901B4AE06E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BONO DE ASISTENCIA</t>
        </r>
      </text>
    </comment>
    <comment ref="K17" authorId="0" shapeId="0" xr:uid="{A0EB3BD4-E154-4937-B068-FB0069EFA7B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</t>
        </r>
      </text>
    </comment>
    <comment ref="K23" authorId="0" shapeId="0" xr:uid="{67C66D76-8A9A-4951-AFB1-6ACC101EEFD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$610.33
BONO DE PUNTIALIDAD
BONO DE ASISTENCIA</t>
        </r>
      </text>
    </comment>
    <comment ref="K24" authorId="0" shapeId="0" xr:uid="{D1841D1A-E105-4F46-9A14-F2DD471D11D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PERMISO SIN GOCE EL 13/11/25 </t>
        </r>
      </text>
    </comment>
    <comment ref="K25" authorId="0" shapeId="0" xr:uid="{095C75F7-0233-4299-ADCF-FCCD8612B14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Dscto. Por préstamo 18/52
</t>
        </r>
      </text>
    </comment>
    <comment ref="K27" authorId="1" shapeId="0" xr:uid="{F5D4EA3B-0EEC-4B92-9505-FB603815826D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FONACOT
</t>
        </r>
      </text>
    </comment>
    <comment ref="L28" authorId="0" shapeId="0" xr:uid="{A6DD7029-F8E5-4451-9E3D-97B04E04CFF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UN DÍA DE VACACIONES 10/11/25</t>
        </r>
      </text>
    </comment>
    <comment ref="K30" authorId="2" shapeId="0" xr:uid="{31C02E51-AF2C-49DA-B58B-98FF8F67D77E}">
      <text>
        <t>[Threaded comment]
Your version of Excel allows you to read this threaded comment; however, any edits to it will get removed if the file is opened in a newer version of Excel. Learn more: https://go.microsoft.com/fwlink/?linkid=870924
Comment:
    Descuento por incapacidad a partir del 11 -11-2025
Reply:
    Queda pendiente el cobro de la comida y desayunos</t>
      </text>
    </comment>
    <comment ref="K31" authorId="0" shapeId="0" xr:uid="{2738960C-600F-4A4F-9511-580C84A99E7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2" authorId="0" shapeId="0" xr:uid="{81F19367-42B5-46EB-A48A-51DF87E93DE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</t>
        </r>
      </text>
    </comment>
    <comment ref="K33" authorId="0" shapeId="0" xr:uid="{9075E56C-EE48-4CBE-927D-CAA19804C53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K42" authorId="0" shapeId="0" xr:uid="{08C81DE1-A660-48A2-B96B-E648A0C79EF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  <comment ref="L46" authorId="3" shapeId="0" xr:uid="{9508A707-AA68-406A-956D-D813C45C0381}">
      <text>
        <t>[Threaded comment]
Your version of Excel allows you to read this threaded comment; however, any edits to it will get removed if the file is opened in a newer version of Excel. Learn more: https://go.microsoft.com/fwlink/?linkid=870924
Comment:
    Bono por referido | Marco Antonio Vega Vilchis</t>
      </text>
    </comment>
    <comment ref="K50" authorId="1" shapeId="0" xr:uid="{7E7FFF4C-4EF8-4DCD-B420-D1B06EA132CA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INFONAVIT
</t>
        </r>
      </text>
    </comment>
    <comment ref="L50" authorId="0" shapeId="0" xr:uid="{EE4AAE21-91AE-484F-ADDE-ADDC38AD601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LOS DÍAS 10, 11 y 12 DE NOVIEMBRE</t>
        </r>
      </text>
    </comment>
    <comment ref="K53" authorId="4" shapeId="0" xr:uid="{2BB0203D-FA59-4BF1-AB5D-DAAA0FC65AEA}">
      <text>
        <t>[Threaded comment]
Your version of Excel allows you to read this threaded comment; however, any edits to it will get removed if the file is opened in a newer version of Excel. Learn more: https://go.microsoft.com/fwlink/?linkid=870924
Comment:
    Por incapacidad del 10-11-2025 | IMSS pagó 440.59</t>
      </text>
    </comment>
    <comment ref="K54" authorId="0" shapeId="0" xr:uid="{A658EF3D-B0F2-4E44-A2F1-6A36376BB44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
</t>
        </r>
      </text>
    </comment>
    <comment ref="K56" authorId="0" shapeId="0" xr:uid="{4C3D3947-78E6-474A-BDE3-83CF8B57F4D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DE PUNTUALIDAD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tc={C406B5B3-CE0F-4F78-B9C3-28C64C17C3C9}</author>
  </authors>
  <commentList>
    <comment ref="K4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de INFONAVIT
</t>
        </r>
      </text>
    </comment>
    <comment ref="K9" authorId="0" shapeId="0" xr:uid="{00000000-0006-0000-0400-000002000000}">
      <text>
        <r>
          <rPr>
            <sz val="9"/>
            <color indexed="81"/>
            <rFont val="Tahoma"/>
            <family val="2"/>
          </rPr>
          <t xml:space="preserve">Préstamo FONACOT </t>
        </r>
      </text>
    </comment>
    <comment ref="K14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14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3 días de vacaciones</t>
        </r>
      </text>
    </comment>
    <comment ref="K16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FI 29/01</t>
        </r>
      </text>
    </comment>
    <comment ref="K19" authorId="1" shapeId="0" xr:uid="{00000000-0006-0000-0400-000006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1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20/40</t>
        </r>
      </text>
    </comment>
    <comment ref="L26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3 días de vacaciones</t>
        </r>
      </text>
    </comment>
    <comment ref="L29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1 día de vacaciones</t>
        </r>
      </text>
    </comment>
    <comment ref="K30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1 día PSG + dscto B.P</t>
        </r>
      </text>
    </comment>
    <comment ref="K32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29/01 al 60%</t>
        </r>
      </text>
    </comment>
    <comment ref="K37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L37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K38" authorId="0" shapeId="0" xr:uid="{00000000-0006-0000-04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</t>
        </r>
      </text>
    </comment>
    <comment ref="K40" authorId="0" shapeId="0" xr:uid="{00000000-0006-0000-04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2" authorId="0" shapeId="0" xr:uid="{00000000-0006-0000-0400-000010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44" authorId="0" shapeId="0" xr:uid="{00000000-0006-0000-0400-00001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L55" authorId="2" shapeId="0" xr:uid="{00000000-0006-0000-0400-000012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Comisión generada por la póliza emitida bajo el concepto 75/25 con la clave de Rino Risk.
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</authors>
  <commentList>
    <comment ref="K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de INFONAVIT
</t>
        </r>
      </text>
    </comment>
    <comment ref="K9" authorId="0" shapeId="0" xr:uid="{00000000-0006-0000-0500-000002000000}">
      <text>
        <r>
          <rPr>
            <sz val="9"/>
            <color indexed="81"/>
            <rFont val="Tahoma"/>
            <family val="2"/>
          </rPr>
          <t xml:space="preserve">Préstamo FONACOT </t>
        </r>
      </text>
    </comment>
    <comment ref="L11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3 días de vacaciones</t>
        </r>
      </text>
    </comment>
    <comment ref="L12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3 días de vacaciones</t>
        </r>
      </text>
    </comment>
    <comment ref="K14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6" authorId="0" shapeId="0" xr:uid="{00000000-0006-0000-05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9" authorId="1" shapeId="0" xr:uid="{00000000-0006-0000-0500-000007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1" authorId="0" shapeId="0" xr:uid="{00000000-0006-0000-05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21/40</t>
        </r>
      </text>
    </comment>
    <comment ref="K24" authorId="0" shapeId="0" xr:uid="{00000000-0006-0000-05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27" authorId="0" shapeId="0" xr:uid="{00000000-0006-0000-05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3 días de vacaciones</t>
        </r>
      </text>
    </comment>
    <comment ref="K29" authorId="0" shapeId="0" xr:uid="{00000000-0006-0000-05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05/02 al 60%</t>
        </r>
      </text>
    </comment>
    <comment ref="K37" authorId="0" shapeId="0" xr:uid="{00000000-0006-0000-05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8" authorId="0" shapeId="0" xr:uid="{00000000-0006-0000-05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dcto B.P Y B.A $589.18</t>
        </r>
      </text>
    </comment>
    <comment ref="K42" authorId="0" shapeId="0" xr:uid="{00000000-0006-0000-05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4" authorId="0" shapeId="0" xr:uid="{00000000-0006-0000-05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45" authorId="0" shapeId="0" xr:uid="{00000000-0006-0000-0500-000010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</authors>
  <commentList>
    <comment ref="K4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de INFONAVIT + 294.59
</t>
        </r>
      </text>
    </comment>
    <comment ref="K9" authorId="0" shapeId="0" xr:uid="{00000000-0006-0000-0600-000002000000}">
      <text>
        <r>
          <rPr>
            <sz val="9"/>
            <color indexed="81"/>
            <rFont val="Tahoma"/>
            <family val="2"/>
          </rPr>
          <t xml:space="preserve">Préstamo FONACOT </t>
        </r>
      </text>
    </comment>
    <comment ref="K14" authorId="0" shapeId="0" xr:uid="{00000000-0006-0000-06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6" authorId="0" shapeId="0" xr:uid="{00000000-0006-0000-06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8" authorId="0" shapeId="0" xr:uid="{00000000-0006-0000-06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9" authorId="1" shapeId="0" xr:uid="{00000000-0006-0000-0600-000006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L20" authorId="0" shapeId="0" xr:uid="{00000000-0006-0000-06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21" authorId="0" shapeId="0" xr:uid="{00000000-0006-0000-06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22/40</t>
        </r>
      </text>
    </comment>
    <comment ref="K24" authorId="0" shapeId="0" xr:uid="{00000000-0006-0000-06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29" authorId="0" shapeId="0" xr:uid="{00000000-0006-0000-06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30" authorId="0" shapeId="0" xr:uid="{00000000-0006-0000-06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37" authorId="0" shapeId="0" xr:uid="{00000000-0006-0000-06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8" authorId="0" shapeId="0" xr:uid="{00000000-0006-0000-06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SE MODIFICO A 1,861.80 C.F.
</t>
        </r>
      </text>
    </comment>
    <comment ref="K40" authorId="0" shapeId="0" xr:uid="{00000000-0006-0000-06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1" authorId="0" shapeId="0" xr:uid="{00000000-0006-0000-06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41" authorId="0" shapeId="0" xr:uid="{00000000-0006-0000-0600-000010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K44" authorId="0" shapeId="0" xr:uid="{00000000-0006-0000-0600-00001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45" authorId="0" shapeId="0" xr:uid="{00000000-0006-0000-0600-00001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6" authorId="0" shapeId="0" xr:uid="{00000000-0006-0000-0600-00001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Falta injustificada 10/02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</authors>
  <commentList>
    <comment ref="K4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de INFONAVIT
</t>
        </r>
      </text>
    </comment>
    <comment ref="K9" authorId="0" shapeId="0" xr:uid="{00000000-0006-0000-0700-000002000000}">
      <text>
        <r>
          <rPr>
            <sz val="9"/>
            <color indexed="81"/>
            <rFont val="Tahoma"/>
            <family val="2"/>
          </rPr>
          <t xml:space="preserve">Préstamo FONACOT </t>
        </r>
      </text>
    </comment>
    <comment ref="K14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L15" authorId="0" shapeId="0" xr:uid="{00000000-0006-0000-07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857.14 P.V. + 1714.28 (3 días de la siguiente semana) </t>
        </r>
      </text>
    </comment>
    <comment ref="K16" authorId="0" shapeId="0" xr:uid="{00000000-0006-0000-07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7" authorId="0" shapeId="0" xr:uid="{00000000-0006-0000-07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L17" authorId="0" shapeId="0" xr:uid="{00000000-0006-0000-07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</t>
        </r>
      </text>
    </comment>
    <comment ref="K18" authorId="0" shapeId="0" xr:uid="{00000000-0006-0000-07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19" authorId="1" shapeId="0" xr:uid="{00000000-0006-0000-0700-000009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1" authorId="0" shapeId="0" xr:uid="{00000000-0006-0000-07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23/40</t>
        </r>
      </text>
    </comment>
    <comment ref="L24" authorId="0" shapeId="0" xr:uid="{00000000-0006-0000-07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</t>
        </r>
      </text>
    </comment>
    <comment ref="K26" authorId="0" shapeId="0" xr:uid="{00000000-0006-0000-0700-00000C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30" authorId="0" shapeId="0" xr:uid="{00000000-0006-0000-07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 563.34 + 17/02 al 60% $377.14</t>
        </r>
      </text>
    </comment>
    <comment ref="K37" authorId="0" shapeId="0" xr:uid="{00000000-0006-0000-0700-00000E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8" authorId="0" shapeId="0" xr:uid="{00000000-0006-0000-0700-00000F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+ DSCTO B.P Y B.A 
</t>
        </r>
      </text>
    </comment>
    <comment ref="K40" authorId="0" shapeId="0" xr:uid="{00000000-0006-0000-0700-000010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45" authorId="0" shapeId="0" xr:uid="{00000000-0006-0000-0700-00001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57" authorId="0" shapeId="0" xr:uid="{00000000-0006-0000-0700-00001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Sólo se pagaría 1 día
Se realizó ajuste en despensa para eliminar diferencia de $135.80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Dell</author>
    <author>tc={DE500496-328D-4CE5-A89F-DE21B1448C53}</author>
  </authors>
  <commentList>
    <comment ref="K9" authorId="0" shapeId="0" xr:uid="{00000000-0006-0000-0800-000001000000}">
      <text>
        <r>
          <rPr>
            <sz val="9"/>
            <color indexed="81"/>
            <rFont val="Tahoma"/>
            <family val="2"/>
          </rPr>
          <t>Préstamo FONACOT + dscto B.P y B.A 587.84</t>
        </r>
      </text>
    </comment>
    <comment ref="K14" authorId="0" shapeId="0" xr:uid="{00000000-0006-0000-08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5" authorId="0" shapeId="0" xr:uid="{00000000-0006-0000-08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Descto de 3 días pagados la semana anterior</t>
        </r>
      </text>
    </comment>
    <comment ref="K16" authorId="0" shapeId="0" xr:uid="{00000000-0006-0000-08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  <comment ref="K19" authorId="1" shapeId="0" xr:uid="{00000000-0006-0000-0800-000005000000}">
      <text>
        <r>
          <rPr>
            <b/>
            <sz val="9"/>
            <color indexed="81"/>
            <rFont val="Tahoma"/>
            <family val="2"/>
          </rPr>
          <t xml:space="preserve">INFONAVIT - NUEVA CANTIDAD ACTUALIZADA
</t>
        </r>
      </text>
    </comment>
    <comment ref="K21" authorId="0" shapeId="0" xr:uid="{00000000-0006-0000-08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préstamo 24/40</t>
        </r>
      </text>
    </comment>
    <comment ref="K23" authorId="0" shapeId="0" xr:uid="{00000000-0006-0000-0800-000007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K30" authorId="0" shapeId="0" xr:uid="{00000000-0006-0000-0800-000008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37" authorId="0" shapeId="0" xr:uid="{00000000-0006-0000-0800-000009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K38" authorId="0" shapeId="0" xr:uid="{00000000-0006-0000-0800-00000A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437.64 + DSCTO B.P Y B.A 589.18
</t>
        </r>
      </text>
    </comment>
    <comment ref="K40" authorId="0" shapeId="0" xr:uid="{00000000-0006-0000-0800-00000B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 y asistencia</t>
        </r>
      </text>
    </comment>
    <comment ref="K44" authorId="2" shapeId="0" xr:uid="{00000000-0006-0000-0800-00000C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INCAPACIDAD
</t>
      </text>
    </comment>
    <comment ref="K45" authorId="0" shapeId="0" xr:uid="{00000000-0006-0000-0800-00000D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bono puntualidad</t>
        </r>
      </text>
    </comment>
  </commentList>
</comments>
</file>

<file path=xl/sharedStrings.xml><?xml version="1.0" encoding="utf-8"?>
<sst xmlns="http://schemas.openxmlformats.org/spreadsheetml/2006/main" count="5347" uniqueCount="158">
  <si>
    <t>RINO RISK AGENTE DE SEGUROS SA DE CV</t>
  </si>
  <si>
    <t>Nombre</t>
  </si>
  <si>
    <t>SALARIO SEMANAL NETO</t>
  </si>
  <si>
    <t>Salario Diario</t>
  </si>
  <si>
    <t xml:space="preserve">Salario Semanal </t>
  </si>
  <si>
    <t>Septimo dia</t>
  </si>
  <si>
    <t xml:space="preserve">Deposito Neto por semana </t>
  </si>
  <si>
    <t xml:space="preserve">COMEDOR </t>
  </si>
  <si>
    <t xml:space="preserve">DESAYUNOS </t>
  </si>
  <si>
    <t>DESCUENTOS PRESTAMOS Y/0 ANTICIPOS</t>
  </si>
  <si>
    <t>BONOS EXTRAS</t>
  </si>
  <si>
    <t xml:space="preserve">Asimilable </t>
  </si>
  <si>
    <t xml:space="preserve">Deposito Final </t>
  </si>
  <si>
    <t>BRAVO CAMACHO JONATHAN DANIEL</t>
  </si>
  <si>
    <t>CAMACHO BRAVO  ADRIANA</t>
  </si>
  <si>
    <t>GALLARDO MIRANDA SOFIA GUADALUPE</t>
  </si>
  <si>
    <t>QUIROZ LINDA MITCHELL</t>
  </si>
  <si>
    <t>TORRES CHAVEZ MYRIAM LIZETH</t>
  </si>
  <si>
    <t>ITA CASTRO BEATRIZ ARACELI</t>
  </si>
  <si>
    <t>CAMACHO PEREZ KAREN NAYELI</t>
  </si>
  <si>
    <t>HERNANDEZ CERVANTES BERENICE</t>
  </si>
  <si>
    <t>CUEVAS ESPINOZA YESENIA ARISBETH</t>
  </si>
  <si>
    <t>LOPEZ FERRO SONIA MARISA</t>
  </si>
  <si>
    <t>ENRIQUEZ ESCANDON BRENDA ROSALIA</t>
  </si>
  <si>
    <t>FLORES HUERTA BRENDA MARLENE</t>
  </si>
  <si>
    <t>VAZQUEZ GASPAR KAREN ITZEL</t>
  </si>
  <si>
    <t>RAMOS GARCIA JOSE ANGEL</t>
  </si>
  <si>
    <t xml:space="preserve">GARCIA MORENO VALERIA </t>
  </si>
  <si>
    <t>CASTRO MONTEMAYOR JESUS IGNACIO</t>
  </si>
  <si>
    <t>BENITEZ VELEZ FRANKLIN</t>
  </si>
  <si>
    <t>COTA PINEDA JESUS GASPAR</t>
  </si>
  <si>
    <t>CHAVEZ QUIROZ JESUS RAMON</t>
  </si>
  <si>
    <t>CASTILLO PINEDA LILIA JANETH</t>
  </si>
  <si>
    <t>TREJO ALVAREZ YAZMIN</t>
  </si>
  <si>
    <t>RENOVATTO RAMIREZ NADIA PAOLA</t>
  </si>
  <si>
    <t>VILLALOBOS SANCHEZ YESSENIA</t>
  </si>
  <si>
    <t>GARCIA MELENDREZ JOCELYN ARLEN</t>
  </si>
  <si>
    <t>SAENZ MAGAÑA JESUS MANUEL</t>
  </si>
  <si>
    <t>DORADO AGUILUS RUBEN</t>
  </si>
  <si>
    <t>CARRASCO ROJAS ABDIEL SAMUEL</t>
  </si>
  <si>
    <t>PEREZ MORENO SARAI</t>
  </si>
  <si>
    <t>GONZALEZ MALDONADO DIANA</t>
  </si>
  <si>
    <t>VALLEJO RUIZ NORMA ANGELICA</t>
  </si>
  <si>
    <t>FAVELA ROBLEDO PATRICIA ISABEL</t>
  </si>
  <si>
    <t>MEJIA SANCHEZ JESSICA MONSERRAT</t>
  </si>
  <si>
    <t>BENAVIDES CARRILLO JUAN CARLOS</t>
  </si>
  <si>
    <t>UNIDADES</t>
  </si>
  <si>
    <t>TJ</t>
  </si>
  <si>
    <t>ZAX</t>
  </si>
  <si>
    <t>SC</t>
  </si>
  <si>
    <t>MTY</t>
  </si>
  <si>
    <t xml:space="preserve">CUOTA SH </t>
  </si>
  <si>
    <t xml:space="preserve">TOTAL SH </t>
  </si>
  <si>
    <t>VIDAÑO LOPEZ RICARDO HUMBERTO</t>
  </si>
  <si>
    <t>FLETES CASTRO KAREN ALEXA</t>
  </si>
  <si>
    <t>GARCÍA OLMOS KARLA ELENA</t>
  </si>
  <si>
    <t>MORALES MONDRAGON YESENIA</t>
  </si>
  <si>
    <t>TAPIA CASTRO MARIA DE JESUS</t>
  </si>
  <si>
    <t>SANCHEZ CARRILLO THANIA</t>
  </si>
  <si>
    <t>BARBOZA OLIVAS TANIA LIZBETH</t>
  </si>
  <si>
    <t>HERRERA ACUÑA GAEL EMILIANO</t>
  </si>
  <si>
    <t>PIÑA PEREZ JAEN ALEJANDRO</t>
  </si>
  <si>
    <t>RICARDEZ GAXIOLA MAURICIO</t>
  </si>
  <si>
    <t>DIAZ ALVARADO MONSERRAT</t>
  </si>
  <si>
    <t>GONZALEZ PALMA JORGE ANDRES</t>
  </si>
  <si>
    <t>PEREZ CORONA VERONICA YESETH</t>
  </si>
  <si>
    <t>GARCIA LOPEZ MIGUEL ISAAC</t>
  </si>
  <si>
    <t>DE SANTIAGO POLANCO DULCE JAEL</t>
  </si>
  <si>
    <t>MORENO ROSALDO MARIA FERNANDA</t>
  </si>
  <si>
    <t>LOPEZ FLORES JOSE JUAN</t>
  </si>
  <si>
    <t>NOMINA 02 (Del 06 al 12 Enero 2025)</t>
  </si>
  <si>
    <t>NOMINA 01 (Del 30 diciembre al 05 enero 2024)</t>
  </si>
  <si>
    <t>DURAN GARCIA EVELIN</t>
  </si>
  <si>
    <t>GARCIA HERNANDEZ DANA MICHELLE</t>
  </si>
  <si>
    <t>MARIN MACIAS JOSUE DANIEL</t>
  </si>
  <si>
    <t>MARTINEZ MOLINA GERARDO YAHIR</t>
  </si>
  <si>
    <t>NOMINA 03 (Del 13 al 19 Enero 2025)</t>
  </si>
  <si>
    <t>NOMINA 04 (Del 20 al 26 Enero 2025)</t>
  </si>
  <si>
    <t>SANCHEZ LOBATO ISRAEL</t>
  </si>
  <si>
    <t>NOMINA 05 (Del 27 al 02 Febrero 2025)</t>
  </si>
  <si>
    <t>NOMINA 06 (Del 03 al 09 Febrero 2025)</t>
  </si>
  <si>
    <t>NOMINA 07 (Del 10 al 16 Febrero 2025)</t>
  </si>
  <si>
    <t>RIVERA TREVIÑO LAURA CECILIA</t>
  </si>
  <si>
    <t>NOMINA 08 (Del 17 al 23 Febrero 2025)</t>
  </si>
  <si>
    <t>NOMINA 09 (Del 24 Febrero al 02 Marzo 2025)</t>
  </si>
  <si>
    <t>NOMINA 10 (Del 03 al 09 Marzo 2025)</t>
  </si>
  <si>
    <t>NOMINA 11 (Del 10 al 16 Marzo 2025)</t>
  </si>
  <si>
    <t>NOMINA 12 (Del 17 al 23 Marzo 2025)</t>
  </si>
  <si>
    <t>NOMINA 13 (Del 24 al 30 Marzo 2025)</t>
  </si>
  <si>
    <t>MARTINEZ ZAVALA JONATHAN</t>
  </si>
  <si>
    <t>NOMINA 14 (Del 31 Marzo al 06 de Abril 2025)</t>
  </si>
  <si>
    <t>VEGA MENDEZ KAREN LIZBETH</t>
  </si>
  <si>
    <t>NOMINA 15 (Del 07 al 13 de Abril 2025)</t>
  </si>
  <si>
    <t>Deposito Neto por semana CORRECCION</t>
  </si>
  <si>
    <t>DIFERENCIA</t>
  </si>
  <si>
    <t>Saldo a favor Federacion</t>
  </si>
  <si>
    <t>Saldo a favor SaberHacer</t>
  </si>
  <si>
    <t>IMPORTE PAGADO</t>
  </si>
  <si>
    <t>IMPORTE CORRECTO</t>
  </si>
  <si>
    <t>IMPORTE A FAVOR</t>
  </si>
  <si>
    <t>IMPORTE A PAGAR</t>
  </si>
  <si>
    <t>FISCAL</t>
  </si>
  <si>
    <t>FEDERACION</t>
  </si>
  <si>
    <t>SABERHACER</t>
  </si>
  <si>
    <t>MOSQUEDA HERNANDEZ ANGEL IVAN</t>
  </si>
  <si>
    <t>NOMINA 17 (Del 21 al 27 de Abril 2025)</t>
  </si>
  <si>
    <t>NOMINA 18 (Del 28 de Abril al 04 Mayo 2025)</t>
  </si>
  <si>
    <t>HERNANDEZ RAMIREZ MARIO ALBERTO</t>
  </si>
  <si>
    <t>NOMINA 19 (Del 05 al 11 Mayo 2025)</t>
  </si>
  <si>
    <t>NOMINA 20 (Del 12 al 18 Mayo 2025)</t>
  </si>
  <si>
    <t>CARRIZALES ZURITA SAMANTA DENIS</t>
  </si>
  <si>
    <t>NOMINA 21 (Del 19 al 25 Mayo 2025)</t>
  </si>
  <si>
    <t>NOMINA 22 (Del 26 Mayo al 01 Junio 2025)</t>
  </si>
  <si>
    <t>NOMINA 23 (Del 02 al 08 Junio 2025)</t>
  </si>
  <si>
    <t>NOMINA 24 (Del 09 al 15 Junio 2025)</t>
  </si>
  <si>
    <t xml:space="preserve">RAMOS CASTRO IVETH ALEJANDRA </t>
  </si>
  <si>
    <t xml:space="preserve">MALDONADO JIMENEZ KEYLA HAYDEE </t>
  </si>
  <si>
    <t>NOMINA 25 (Del 16 al 22 Junio 2025)</t>
  </si>
  <si>
    <t>%</t>
  </si>
  <si>
    <t>CH</t>
  </si>
  <si>
    <t>NOMINA 26 (Del 23 al 29 Junio 2025)</t>
  </si>
  <si>
    <t>ESPARZA CARDENAS VIVIANA LIZETH</t>
  </si>
  <si>
    <t>NOMINA 27 (Del 29 Junio al 06 Julio 2025)</t>
  </si>
  <si>
    <t>NOMINA 28 (Del 07 al 13 Julio 2025)</t>
  </si>
  <si>
    <t>SOLIS TOVAR ADRIANA ELIZABETH</t>
  </si>
  <si>
    <t>NOMINA 29 (Del 14 al 20 Julio 2025)</t>
  </si>
  <si>
    <t>NOMINA 30 (Del 21 al 27 Julio 2025)</t>
  </si>
  <si>
    <t>NOMINA 31 (Del 28 Julio al 03 agosto 2025)</t>
  </si>
  <si>
    <t>CASIAN SANDOVAL ROSSANA</t>
  </si>
  <si>
    <t>HIDALGO HERRERA EDUARDO</t>
  </si>
  <si>
    <t>NOMINA 32 (Del 04 al 10 agosto 2025)</t>
  </si>
  <si>
    <t>MARTIJA SALDAÑA MONICA LIZET</t>
  </si>
  <si>
    <t>COVARRUBIAS RANGEL NORA IMELDA</t>
  </si>
  <si>
    <t>NOMINA 33 (Del 11 al 17 agosto 2025)</t>
  </si>
  <si>
    <t>NOMINA 34 (Del 18 al 24 agosto 2025)</t>
  </si>
  <si>
    <t>NOMINA 35 (Del 25 al 31 agosto 2025)</t>
  </si>
  <si>
    <t>RAMIREZ GARCIA JESSICA JAZMIN</t>
  </si>
  <si>
    <t>MARTINEZ HERNANDEZ YAMANY MIGUEL</t>
  </si>
  <si>
    <t>HERNANDEZ MEDINA OSCAR</t>
  </si>
  <si>
    <t>NOMINA 36 (Del 01 al 07 septiembre 2025)</t>
  </si>
  <si>
    <t>MARTINEZ HERNANDEZ YAZMANY MIGUEL</t>
  </si>
  <si>
    <t>NOMINA 37 (Del 08 al 14 septiembre 2025)</t>
  </si>
  <si>
    <t>NOMINA 38 (Del 15 al 21 septiembre 2025)</t>
  </si>
  <si>
    <t>BELTRÁN RAMÍREZ MARÍA FERNANDA</t>
  </si>
  <si>
    <t>NOMINA 39 (Del 22 al 28 septiembre 2025)</t>
  </si>
  <si>
    <t>NOMINA 40 (Del 29 al 05 octubre 2025)</t>
  </si>
  <si>
    <t>NOMINA 41 (Del 06 al 12 octubre 2025)</t>
  </si>
  <si>
    <t>GONZALEZ VALDES ANDREA SAMAHARA</t>
  </si>
  <si>
    <t>NOMINA 42 (Del 13 al 19 octubre 2025)</t>
  </si>
  <si>
    <t>CUENCA LOPEZ EVELYN VICTORIA</t>
  </si>
  <si>
    <t>NOMINA 43 (Del 20 al 26 octubre 2025)</t>
  </si>
  <si>
    <t>AGUILAR FRAPPE OSCAR AZAEL</t>
  </si>
  <si>
    <t>MENDOZA HIGUERAS CARLOS ANTONIO</t>
  </si>
  <si>
    <t>NOMINA 44 (Del 27 de octubre al 02 de noviembre 2025)</t>
  </si>
  <si>
    <t>ORTIZ LEON PAULINA</t>
  </si>
  <si>
    <t>RODRIGUEZ LOPEZ TANIA BEIRA</t>
  </si>
  <si>
    <t>NOMINA 45 (Del 03 de noviembre al 09 de noviembre 2025)</t>
  </si>
  <si>
    <t>NOMINA 46 (Del 10 de noviembre al 16 de noviembre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</si>
</sst>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theme="0"/>
      <name val="Arial"/>
      <family val="2"/>
    </font>
    <font>
      <b/>
      <sz val="9"/>
      <color rgb="FFFFFFFF"/>
      <name val="Arial"/>
      <family val="2"/>
    </font>
    <font>
      <b/>
      <sz val="8"/>
      <color theme="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color theme="4"/>
      <name val="Arial"/>
      <family val="2"/>
    </font>
    <font>
      <sz val="9"/>
      <name val="Arial"/>
      <family val="2"/>
    </font>
    <font>
      <sz val="12"/>
      <color theme="1"/>
      <name val="Century Gothic"/>
      <family val="2"/>
    </font>
    <font>
      <b/>
      <sz val="9"/>
      <color theme="1" tint="4.9989318521683403E-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133">
    <xf numFmtId="0" fontId="0" fillId="0" borderId="0" xfId="0"/>
    <xf numFmtId="0" fontId="2" fillId="2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/>
    </xf>
    <xf numFmtId="0" fontId="6" fillId="0" borderId="1" xfId="1" applyFont="1" applyBorder="1" applyAlignment="1">
      <alignment horizontal="left" vertical="center"/>
    </xf>
    <xf numFmtId="43" fontId="6" fillId="4" borderId="1" xfId="2" applyFont="1" applyFill="1" applyBorder="1" applyAlignment="1">
      <alignment horizontal="center" vertical="center"/>
    </xf>
    <xf numFmtId="43" fontId="6" fillId="0" borderId="1" xfId="1" applyNumberFormat="1" applyFont="1" applyBorder="1" applyAlignment="1">
      <alignment horizontal="center" vertical="center"/>
    </xf>
    <xf numFmtId="43" fontId="2" fillId="0" borderId="1" xfId="1" applyNumberFormat="1" applyFont="1" applyBorder="1" applyAlignment="1">
      <alignment horizontal="center" vertical="center"/>
    </xf>
    <xf numFmtId="43" fontId="8" fillId="0" borderId="1" xfId="2" applyFont="1" applyFill="1" applyBorder="1" applyAlignment="1">
      <alignment horizontal="center" vertical="center"/>
    </xf>
    <xf numFmtId="43" fontId="9" fillId="2" borderId="1" xfId="2" applyFont="1" applyFill="1" applyBorder="1" applyAlignment="1">
      <alignment vertical="center"/>
    </xf>
    <xf numFmtId="43" fontId="10" fillId="0" borderId="1" xfId="2" applyFont="1" applyFill="1" applyBorder="1" applyAlignment="1">
      <alignment vertical="center"/>
    </xf>
    <xf numFmtId="43" fontId="7" fillId="0" borderId="1" xfId="2" applyFont="1" applyFill="1" applyBorder="1" applyAlignment="1">
      <alignment vertical="center"/>
    </xf>
    <xf numFmtId="43" fontId="11" fillId="0" borderId="1" xfId="2" applyFont="1" applyFill="1" applyBorder="1" applyAlignment="1">
      <alignment vertical="center"/>
    </xf>
    <xf numFmtId="43" fontId="0" fillId="0" borderId="0" xfId="0" applyNumberFormat="1"/>
    <xf numFmtId="43" fontId="9" fillId="6" borderId="1" xfId="2" applyFont="1" applyFill="1" applyBorder="1" applyAlignment="1">
      <alignment vertical="center"/>
    </xf>
    <xf numFmtId="0" fontId="6" fillId="2" borderId="1" xfId="1" applyFont="1" applyFill="1" applyBorder="1" applyAlignment="1">
      <alignment horizontal="left" vertical="center"/>
    </xf>
    <xf numFmtId="43" fontId="8" fillId="2" borderId="1" xfId="2" applyFont="1" applyFill="1" applyBorder="1" applyAlignment="1">
      <alignment horizontal="center" vertical="center"/>
    </xf>
    <xf numFmtId="43" fontId="10" fillId="2" borderId="1" xfId="2" applyFont="1" applyFill="1" applyBorder="1" applyAlignment="1">
      <alignment vertical="center"/>
    </xf>
    <xf numFmtId="43" fontId="2" fillId="2" borderId="1" xfId="2" applyFont="1" applyFill="1" applyBorder="1" applyAlignment="1">
      <alignment horizontal="right" vertical="center"/>
    </xf>
    <xf numFmtId="43" fontId="9" fillId="0" borderId="1" xfId="2" applyFont="1" applyFill="1" applyBorder="1" applyAlignment="1">
      <alignment vertical="center"/>
    </xf>
    <xf numFmtId="43" fontId="7" fillId="2" borderId="1" xfId="2" applyFont="1" applyFill="1" applyBorder="1" applyAlignment="1">
      <alignment vertical="center"/>
    </xf>
    <xf numFmtId="0" fontId="2" fillId="2" borderId="2" xfId="1" applyFont="1" applyFill="1" applyBorder="1" applyAlignment="1">
      <alignment horizontal="center"/>
    </xf>
    <xf numFmtId="0" fontId="12" fillId="0" borderId="3" xfId="3" applyBorder="1"/>
    <xf numFmtId="43" fontId="2" fillId="2" borderId="2" xfId="1" applyNumberFormat="1" applyFont="1" applyFill="1" applyBorder="1" applyAlignment="1">
      <alignment vertical="center"/>
    </xf>
    <xf numFmtId="43" fontId="9" fillId="2" borderId="2" xfId="1" applyNumberFormat="1" applyFont="1" applyFill="1" applyBorder="1" applyAlignment="1">
      <alignment vertical="center"/>
    </xf>
    <xf numFmtId="43" fontId="13" fillId="2" borderId="3" xfId="1" applyNumberFormat="1" applyFont="1" applyFill="1" applyBorder="1" applyAlignment="1">
      <alignment vertical="center"/>
    </xf>
    <xf numFmtId="164" fontId="0" fillId="0" borderId="0" xfId="0" applyNumberFormat="1"/>
    <xf numFmtId="0" fontId="6" fillId="0" borderId="1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3" fillId="3" borderId="4" xfId="1" applyFont="1" applyFill="1" applyBorder="1" applyAlignment="1">
      <alignment horizontal="center" vertical="center" wrapText="1"/>
    </xf>
    <xf numFmtId="43" fontId="0" fillId="0" borderId="1" xfId="0" applyNumberFormat="1" applyBorder="1"/>
    <xf numFmtId="0" fontId="0" fillId="0" borderId="1" xfId="0" applyBorder="1" applyAlignment="1">
      <alignment horizontal="center"/>
    </xf>
    <xf numFmtId="43" fontId="3" fillId="3" borderId="1" xfId="1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43" fontId="7" fillId="5" borderId="1" xfId="4" applyFont="1" applyFill="1" applyBorder="1" applyAlignment="1">
      <alignment vertical="center"/>
    </xf>
    <xf numFmtId="43" fontId="7" fillId="7" borderId="1" xfId="4" applyFont="1" applyFill="1" applyBorder="1" applyAlignment="1">
      <alignment vertical="center"/>
    </xf>
    <xf numFmtId="8" fontId="10" fillId="0" borderId="1" xfId="2" applyNumberFormat="1" applyFont="1" applyFill="1" applyBorder="1" applyAlignment="1">
      <alignment vertical="center"/>
    </xf>
    <xf numFmtId="43" fontId="8" fillId="0" borderId="0" xfId="2" applyFont="1" applyFill="1" applyBorder="1" applyAlignment="1">
      <alignment horizontal="center" vertical="center"/>
    </xf>
    <xf numFmtId="43" fontId="6" fillId="8" borderId="1" xfId="2" applyFont="1" applyFill="1" applyBorder="1" applyAlignment="1">
      <alignment horizontal="center" vertical="center"/>
    </xf>
    <xf numFmtId="0" fontId="6" fillId="9" borderId="1" xfId="1" applyFont="1" applyFill="1" applyBorder="1" applyAlignment="1">
      <alignment horizontal="center"/>
    </xf>
    <xf numFmtId="0" fontId="6" fillId="9" borderId="1" xfId="1" applyFont="1" applyFill="1" applyBorder="1" applyAlignment="1">
      <alignment horizontal="left" vertical="center"/>
    </xf>
    <xf numFmtId="43" fontId="6" fillId="9" borderId="1" xfId="2" applyFont="1" applyFill="1" applyBorder="1" applyAlignment="1">
      <alignment horizontal="center" vertical="center"/>
    </xf>
    <xf numFmtId="43" fontId="6" fillId="9" borderId="1" xfId="1" applyNumberFormat="1" applyFont="1" applyFill="1" applyBorder="1" applyAlignment="1">
      <alignment horizontal="center" vertical="center"/>
    </xf>
    <xf numFmtId="43" fontId="2" fillId="9" borderId="1" xfId="1" applyNumberFormat="1" applyFont="1" applyFill="1" applyBorder="1" applyAlignment="1">
      <alignment horizontal="center" vertical="center"/>
    </xf>
    <xf numFmtId="43" fontId="7" fillId="9" borderId="1" xfId="4" applyFont="1" applyFill="1" applyBorder="1" applyAlignment="1">
      <alignment vertical="center"/>
    </xf>
    <xf numFmtId="43" fontId="8" fillId="9" borderId="1" xfId="2" applyFont="1" applyFill="1" applyBorder="1" applyAlignment="1">
      <alignment horizontal="center" vertical="center"/>
    </xf>
    <xf numFmtId="43" fontId="9" fillId="9" borderId="1" xfId="2" applyFont="1" applyFill="1" applyBorder="1" applyAlignment="1">
      <alignment vertical="center"/>
    </xf>
    <xf numFmtId="43" fontId="10" fillId="9" borderId="1" xfId="2" applyFont="1" applyFill="1" applyBorder="1" applyAlignment="1">
      <alignment vertical="center"/>
    </xf>
    <xf numFmtId="43" fontId="7" fillId="9" borderId="1" xfId="2" applyFont="1" applyFill="1" applyBorder="1" applyAlignment="1">
      <alignment vertical="center"/>
    </xf>
    <xf numFmtId="43" fontId="11" fillId="9" borderId="1" xfId="2" applyFont="1" applyFill="1" applyBorder="1" applyAlignment="1">
      <alignment vertical="center"/>
    </xf>
    <xf numFmtId="0" fontId="6" fillId="9" borderId="1" xfId="1" applyFont="1" applyFill="1" applyBorder="1" applyAlignment="1">
      <alignment horizontal="center" vertical="center"/>
    </xf>
    <xf numFmtId="43" fontId="0" fillId="9" borderId="1" xfId="0" applyNumberFormat="1" applyFill="1" applyBorder="1"/>
    <xf numFmtId="44" fontId="0" fillId="0" borderId="0" xfId="5" applyFont="1"/>
    <xf numFmtId="0" fontId="6" fillId="10" borderId="1" xfId="1" applyFont="1" applyFill="1" applyBorder="1" applyAlignment="1">
      <alignment horizontal="center"/>
    </xf>
    <xf numFmtId="0" fontId="6" fillId="10" borderId="1" xfId="1" applyFont="1" applyFill="1" applyBorder="1" applyAlignment="1">
      <alignment horizontal="left" vertical="center"/>
    </xf>
    <xf numFmtId="43" fontId="6" fillId="10" borderId="1" xfId="2" applyFont="1" applyFill="1" applyBorder="1" applyAlignment="1">
      <alignment horizontal="center" vertical="center"/>
    </xf>
    <xf numFmtId="43" fontId="6" fillId="10" borderId="1" xfId="1" applyNumberFormat="1" applyFont="1" applyFill="1" applyBorder="1" applyAlignment="1">
      <alignment horizontal="center" vertical="center"/>
    </xf>
    <xf numFmtId="43" fontId="2" fillId="10" borderId="1" xfId="1" applyNumberFormat="1" applyFont="1" applyFill="1" applyBorder="1" applyAlignment="1">
      <alignment horizontal="center" vertical="center"/>
    </xf>
    <xf numFmtId="43" fontId="7" fillId="10" borderId="1" xfId="4" applyFont="1" applyFill="1" applyBorder="1" applyAlignment="1">
      <alignment vertical="center"/>
    </xf>
    <xf numFmtId="43" fontId="8" fillId="10" borderId="1" xfId="2" applyFont="1" applyFill="1" applyBorder="1" applyAlignment="1">
      <alignment horizontal="center" vertical="center"/>
    </xf>
    <xf numFmtId="43" fontId="9" fillId="10" borderId="1" xfId="2" applyFont="1" applyFill="1" applyBorder="1" applyAlignment="1">
      <alignment vertical="center"/>
    </xf>
    <xf numFmtId="43" fontId="10" fillId="10" borderId="1" xfId="2" applyFont="1" applyFill="1" applyBorder="1" applyAlignment="1">
      <alignment vertical="center"/>
    </xf>
    <xf numFmtId="43" fontId="7" fillId="10" borderId="1" xfId="2" applyFont="1" applyFill="1" applyBorder="1" applyAlignment="1">
      <alignment vertical="center"/>
    </xf>
    <xf numFmtId="43" fontId="11" fillId="10" borderId="1" xfId="2" applyFont="1" applyFill="1" applyBorder="1" applyAlignment="1">
      <alignment vertical="center"/>
    </xf>
    <xf numFmtId="0" fontId="6" fillId="10" borderId="1" xfId="1" applyFont="1" applyFill="1" applyBorder="1" applyAlignment="1">
      <alignment horizontal="center" vertical="center"/>
    </xf>
    <xf numFmtId="43" fontId="0" fillId="10" borderId="1" xfId="0" applyNumberFormat="1" applyFill="1" applyBorder="1"/>
    <xf numFmtId="43" fontId="7" fillId="4" borderId="1" xfId="2" applyFont="1" applyFill="1" applyBorder="1" applyAlignment="1">
      <alignment vertical="center"/>
    </xf>
    <xf numFmtId="0" fontId="6" fillId="11" borderId="1" xfId="1" applyFont="1" applyFill="1" applyBorder="1" applyAlignment="1">
      <alignment horizontal="center"/>
    </xf>
    <xf numFmtId="0" fontId="6" fillId="11" borderId="1" xfId="1" applyFont="1" applyFill="1" applyBorder="1" applyAlignment="1">
      <alignment horizontal="left" vertical="center"/>
    </xf>
    <xf numFmtId="43" fontId="6" fillId="11" borderId="1" xfId="2" applyFont="1" applyFill="1" applyBorder="1" applyAlignment="1">
      <alignment horizontal="center" vertical="center"/>
    </xf>
    <xf numFmtId="43" fontId="6" fillId="11" borderId="1" xfId="1" applyNumberFormat="1" applyFont="1" applyFill="1" applyBorder="1" applyAlignment="1">
      <alignment horizontal="center" vertical="center"/>
    </xf>
    <xf numFmtId="43" fontId="2" fillId="11" borderId="1" xfId="1" applyNumberFormat="1" applyFont="1" applyFill="1" applyBorder="1" applyAlignment="1">
      <alignment horizontal="center" vertical="center"/>
    </xf>
    <xf numFmtId="43" fontId="7" fillId="11" borderId="1" xfId="4" applyFont="1" applyFill="1" applyBorder="1" applyAlignment="1">
      <alignment vertical="center"/>
    </xf>
    <xf numFmtId="43" fontId="8" fillId="11" borderId="1" xfId="2" applyFont="1" applyFill="1" applyBorder="1" applyAlignment="1">
      <alignment horizontal="center" vertical="center"/>
    </xf>
    <xf numFmtId="43" fontId="9" fillId="11" borderId="1" xfId="2" applyFont="1" applyFill="1" applyBorder="1" applyAlignment="1">
      <alignment vertical="center"/>
    </xf>
    <xf numFmtId="43" fontId="10" fillId="11" borderId="1" xfId="2" applyFont="1" applyFill="1" applyBorder="1" applyAlignment="1">
      <alignment vertical="center"/>
    </xf>
    <xf numFmtId="43" fontId="7" fillId="11" borderId="1" xfId="2" applyFont="1" applyFill="1" applyBorder="1" applyAlignment="1">
      <alignment vertical="center"/>
    </xf>
    <xf numFmtId="43" fontId="11" fillId="11" borderId="1" xfId="2" applyFont="1" applyFill="1" applyBorder="1" applyAlignment="1">
      <alignment vertical="center"/>
    </xf>
    <xf numFmtId="0" fontId="0" fillId="11" borderId="1" xfId="0" applyFill="1" applyBorder="1" applyAlignment="1">
      <alignment horizontal="center"/>
    </xf>
    <xf numFmtId="43" fontId="0" fillId="11" borderId="1" xfId="0" applyNumberFormat="1" applyFill="1" applyBorder="1"/>
    <xf numFmtId="43" fontId="7" fillId="8" borderId="1" xfId="2" applyFont="1" applyFill="1" applyBorder="1" applyAlignment="1">
      <alignment vertical="center"/>
    </xf>
    <xf numFmtId="43" fontId="7" fillId="12" borderId="1" xfId="2" applyFont="1" applyFill="1" applyBorder="1" applyAlignment="1">
      <alignment vertical="center"/>
    </xf>
    <xf numFmtId="8" fontId="7" fillId="5" borderId="1" xfId="4" applyNumberFormat="1" applyFont="1" applyFill="1" applyBorder="1" applyAlignment="1">
      <alignment vertical="center"/>
    </xf>
    <xf numFmtId="8" fontId="7" fillId="7" borderId="1" xfId="4" applyNumberFormat="1" applyFont="1" applyFill="1" applyBorder="1" applyAlignment="1">
      <alignment vertical="center"/>
    </xf>
    <xf numFmtId="0" fontId="0" fillId="0" borderId="5" xfId="0" applyBorder="1"/>
    <xf numFmtId="0" fontId="16" fillId="0" borderId="6" xfId="0" applyFont="1" applyBorder="1" applyAlignment="1">
      <alignment horizontal="center"/>
    </xf>
    <xf numFmtId="43" fontId="16" fillId="0" borderId="6" xfId="0" applyNumberFormat="1" applyFont="1" applyBorder="1"/>
    <xf numFmtId="0" fontId="16" fillId="0" borderId="6" xfId="0" applyFont="1" applyBorder="1"/>
    <xf numFmtId="0" fontId="16" fillId="0" borderId="8" xfId="0" applyFont="1" applyBorder="1" applyAlignment="1">
      <alignment horizontal="right"/>
    </xf>
    <xf numFmtId="43" fontId="0" fillId="0" borderId="9" xfId="0" applyNumberFormat="1" applyBorder="1"/>
    <xf numFmtId="0" fontId="16" fillId="0" borderId="10" xfId="0" applyFont="1" applyBorder="1" applyAlignment="1">
      <alignment horizontal="right"/>
    </xf>
    <xf numFmtId="43" fontId="0" fillId="0" borderId="11" xfId="0" applyNumberFormat="1" applyBorder="1"/>
    <xf numFmtId="43" fontId="0" fillId="0" borderId="12" xfId="0" applyNumberFormat="1" applyBorder="1"/>
    <xf numFmtId="0" fontId="16" fillId="0" borderId="7" xfId="0" applyFont="1" applyBorder="1"/>
    <xf numFmtId="8" fontId="11" fillId="0" borderId="1" xfId="2" applyNumberFormat="1" applyFont="1" applyFill="1" applyBorder="1" applyAlignment="1">
      <alignment vertical="center"/>
    </xf>
    <xf numFmtId="43" fontId="7" fillId="13" borderId="1" xfId="2" applyFont="1" applyFill="1" applyBorder="1" applyAlignment="1">
      <alignment vertical="center"/>
    </xf>
    <xf numFmtId="43" fontId="3" fillId="9" borderId="1" xfId="2" applyFont="1" applyFill="1" applyBorder="1" applyAlignment="1">
      <alignment vertical="center"/>
    </xf>
    <xf numFmtId="43" fontId="9" fillId="2" borderId="1" xfId="2" applyFont="1" applyFill="1" applyBorder="1" applyAlignment="1">
      <alignment horizontal="right" vertical="center"/>
    </xf>
    <xf numFmtId="43" fontId="7" fillId="14" borderId="1" xfId="2" applyFont="1" applyFill="1" applyBorder="1" applyAlignment="1">
      <alignment vertical="center"/>
    </xf>
    <xf numFmtId="0" fontId="6" fillId="15" borderId="1" xfId="1" applyFont="1" applyFill="1" applyBorder="1" applyAlignment="1">
      <alignment horizontal="center"/>
    </xf>
    <xf numFmtId="0" fontId="6" fillId="15" borderId="1" xfId="1" applyFont="1" applyFill="1" applyBorder="1" applyAlignment="1">
      <alignment horizontal="left" vertical="center"/>
    </xf>
    <xf numFmtId="43" fontId="6" fillId="15" borderId="1" xfId="2" applyFont="1" applyFill="1" applyBorder="1" applyAlignment="1">
      <alignment horizontal="center" vertical="center"/>
    </xf>
    <xf numFmtId="43" fontId="6" fillId="15" borderId="1" xfId="1" applyNumberFormat="1" applyFont="1" applyFill="1" applyBorder="1" applyAlignment="1">
      <alignment horizontal="center" vertical="center"/>
    </xf>
    <xf numFmtId="43" fontId="2" fillId="15" borderId="1" xfId="1" applyNumberFormat="1" applyFont="1" applyFill="1" applyBorder="1" applyAlignment="1">
      <alignment horizontal="center" vertical="center"/>
    </xf>
    <xf numFmtId="43" fontId="7" fillId="15" borderId="1" xfId="4" applyFont="1" applyFill="1" applyBorder="1" applyAlignment="1">
      <alignment vertical="center"/>
    </xf>
    <xf numFmtId="43" fontId="8" fillId="15" borderId="1" xfId="2" applyFont="1" applyFill="1" applyBorder="1" applyAlignment="1">
      <alignment horizontal="center" vertical="center"/>
    </xf>
    <xf numFmtId="43" fontId="9" fillId="15" borderId="1" xfId="2" applyFont="1" applyFill="1" applyBorder="1" applyAlignment="1">
      <alignment vertical="center"/>
    </xf>
    <xf numFmtId="43" fontId="10" fillId="15" borderId="1" xfId="2" applyFont="1" applyFill="1" applyBorder="1" applyAlignment="1">
      <alignment vertical="center"/>
    </xf>
    <xf numFmtId="43" fontId="7" fillId="15" borderId="1" xfId="2" applyFont="1" applyFill="1" applyBorder="1" applyAlignment="1">
      <alignment vertical="center"/>
    </xf>
    <xf numFmtId="43" fontId="11" fillId="15" borderId="1" xfId="2" applyFont="1" applyFill="1" applyBorder="1" applyAlignment="1">
      <alignment vertical="center"/>
    </xf>
    <xf numFmtId="43" fontId="0" fillId="15" borderId="1" xfId="0" applyNumberFormat="1" applyFill="1" applyBorder="1"/>
    <xf numFmtId="44" fontId="0" fillId="9" borderId="0" xfId="5" applyFont="1" applyFill="1"/>
    <xf numFmtId="43" fontId="2" fillId="5" borderId="1" xfId="4" applyFont="1" applyFill="1" applyBorder="1"/>
    <xf numFmtId="43" fontId="3" fillId="3" borderId="1" xfId="4" applyFont="1" applyFill="1" applyBorder="1" applyAlignment="1">
      <alignment horizontal="center" vertical="center" wrapText="1"/>
    </xf>
    <xf numFmtId="43" fontId="0" fillId="0" borderId="0" xfId="4" applyFont="1"/>
    <xf numFmtId="43" fontId="2" fillId="2" borderId="2" xfId="4" applyFont="1" applyFill="1" applyBorder="1" applyAlignment="1">
      <alignment vertical="center"/>
    </xf>
    <xf numFmtId="43" fontId="9" fillId="2" borderId="13" xfId="2" applyFont="1" applyFill="1" applyBorder="1" applyAlignment="1">
      <alignment vertical="center"/>
    </xf>
    <xf numFmtId="43" fontId="9" fillId="0" borderId="13" xfId="2" applyFont="1" applyFill="1" applyBorder="1" applyAlignment="1">
      <alignment vertical="center"/>
    </xf>
    <xf numFmtId="43" fontId="9" fillId="2" borderId="13" xfId="2" applyFont="1" applyFill="1" applyBorder="1" applyAlignment="1">
      <alignment horizontal="right" vertical="center"/>
    </xf>
    <xf numFmtId="43" fontId="10" fillId="0" borderId="13" xfId="2" applyFont="1" applyFill="1" applyBorder="1" applyAlignment="1">
      <alignment vertical="center"/>
    </xf>
    <xf numFmtId="43" fontId="9" fillId="6" borderId="13" xfId="2" applyFont="1" applyFill="1" applyBorder="1" applyAlignment="1">
      <alignment vertical="center"/>
    </xf>
    <xf numFmtId="43" fontId="7" fillId="11" borderId="4" xfId="4" applyFont="1" applyFill="1" applyBorder="1" applyAlignment="1">
      <alignment vertical="center"/>
    </xf>
    <xf numFmtId="43" fontId="8" fillId="11" borderId="4" xfId="2" applyFont="1" applyFill="1" applyBorder="1" applyAlignment="1">
      <alignment horizontal="center" vertical="center"/>
    </xf>
    <xf numFmtId="43" fontId="9" fillId="9" borderId="13" xfId="2" applyFont="1" applyFill="1" applyBorder="1" applyAlignment="1">
      <alignment vertical="center"/>
    </xf>
    <xf numFmtId="43" fontId="2" fillId="5" borderId="14" xfId="4" applyFont="1" applyFill="1" applyBorder="1"/>
    <xf numFmtId="43" fontId="3" fillId="9" borderId="13" xfId="2" applyFont="1" applyFill="1" applyBorder="1" applyAlignment="1">
      <alignment vertical="center"/>
    </xf>
    <xf numFmtId="43" fontId="9" fillId="0" borderId="1" xfId="2" applyFont="1" applyFill="1" applyBorder="1" applyAlignment="1">
      <alignment horizontal="center" vertical="center"/>
    </xf>
    <xf numFmtId="0" fontId="6" fillId="16" borderId="1" xfId="1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7">
    <cellStyle name="Comma" xfId="4" builtinId="3"/>
    <cellStyle name="Currency" xfId="5" builtinId="4"/>
    <cellStyle name="Millares 2 2" xfId="2" xr:uid="{00000000-0005-0000-0000-000001000000}"/>
    <cellStyle name="Millares 3 2" xfId="6" xr:uid="{00000000-0005-0000-0000-000002000000}"/>
    <cellStyle name="Normal" xfId="0" builtinId="0"/>
    <cellStyle name="Normal 2" xfId="3" xr:uid="{00000000-0005-0000-0000-000005000000}"/>
    <cellStyle name="Normal 2 2" xfId="1" xr:uid="{00000000-0005-0000-0000-000006000000}"/>
  </cellStyles>
  <dxfs count="0"/>
  <tableStyles count="0" defaultTableStyle="TableStyleMedium2" defaultPivotStyle="PivotStyleLight16"/>
  <colors>
    <mruColors>
      <color rgb="FFB4C6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om%202024%20MODIFICADA%20AJUSTE%20IS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NOMINAS%202024/Nomina%20Rino%20Federacion%20Sem%2009%20%20REAL%20A%20DEPOSITAR%200103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m 1"/>
      <sheetName val="Nom 2"/>
      <sheetName val="Nom 3"/>
      <sheetName val="Nom 4"/>
      <sheetName val="Nom 5"/>
      <sheetName val="Nom 6"/>
      <sheetName val="Nom 7"/>
      <sheetName val="Nom 8"/>
      <sheetName val="Nom 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3">
          <cell r="H53">
            <v>131178.05999999994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no"/>
      <sheetName val="Ayax"/>
    </sheetNames>
    <sheetDataSet>
      <sheetData sheetId="0" refreshError="1">
        <row r="8">
          <cell r="H8">
            <v>75398.810000000012</v>
          </cell>
        </row>
      </sheetData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Linda Mitchell Quiroz" id="{73DE3D6E-2E8A-4FA8-B472-82D275F1C311}" userId="1d5ff738d12d9c32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55" dT="2025-01-30T23:21:23.49" personId="{73DE3D6E-2E8A-4FA8-B472-82D275F1C311}" id="{C406B5B3-CE0F-4F78-B9C3-28C64C17C3C9}">
    <text xml:space="preserve">Comisión generada por la póliza emitida bajo el concepto 75/25 con la clave de Rino Risk.
</text>
  </threadedComment>
</ThreadedComments>
</file>

<file path=xl/threadedComments/threadedComment10.xml><?xml version="1.0" encoding="utf-8"?>
<ThreadedComments xmlns="http://schemas.microsoft.com/office/spreadsheetml/2018/threadedcomments" xmlns:x="http://schemas.openxmlformats.org/spreadsheetml/2006/main">
  <threadedComment ref="L37" dT="2025-05-29T16:56:20.12" personId="{73DE3D6E-2E8A-4FA8-B472-82D275F1C311}" id="{B707803A-D6EE-4A4B-8263-3A933150B0FC}">
    <text>Devolución de pago de permiso de CCB</text>
  </threadedComment>
</ThreadedComments>
</file>

<file path=xl/threadedComments/threadedComment11.xml><?xml version="1.0" encoding="utf-8"?>
<ThreadedComments xmlns="http://schemas.microsoft.com/office/spreadsheetml/2018/threadedcomments" xmlns:x="http://schemas.openxmlformats.org/spreadsheetml/2006/main">
  <threadedComment ref="L9" dT="2025-06-12T17:26:40.05" personId="{73DE3D6E-2E8A-4FA8-B472-82D275F1C311}" id="{0635F8D6-423D-4A9F-93DD-904CC664694C}">
    <text>Bono solicitado por dirección</text>
  </threadedComment>
</ThreadedComments>
</file>

<file path=xl/threadedComments/threadedComment12.xml><?xml version="1.0" encoding="utf-8"?>
<ThreadedComments xmlns="http://schemas.microsoft.com/office/spreadsheetml/2018/threadedcomments" xmlns:x="http://schemas.openxmlformats.org/spreadsheetml/2006/main">
  <threadedComment ref="L50" dT="2025-06-19T15:44:02.17" personId="{73DE3D6E-2E8A-4FA8-B472-82D275F1C311}" id="{DB4A2F0C-C7A7-448E-AE89-2EFF6BDD533A}">
    <text>Bono por recluta</text>
  </threadedComment>
  <threadedComment ref="L51" dT="2025-06-19T15:43:30.83" personId="{73DE3D6E-2E8A-4FA8-B472-82D275F1C311}" id="{C02FCD87-4935-4DF5-A1AA-93E519774C73}">
    <text xml:space="preserve">Reembolso Linkedin
</text>
  </threadedComment>
</ThreadedComments>
</file>

<file path=xl/threadedComments/threadedComment13.xml><?xml version="1.0" encoding="utf-8"?>
<ThreadedComments xmlns="http://schemas.microsoft.com/office/spreadsheetml/2018/threadedcomments" xmlns:x="http://schemas.openxmlformats.org/spreadsheetml/2006/main">
  <threadedComment ref="L8" dT="2025-06-26T17:49:57.05" personId="{73DE3D6E-2E8A-4FA8-B472-82D275F1C311}" id="{C3C3334F-D4B8-4E24-932B-48089D9E818F}">
    <text>Reembolso por concepto de aceites de motor para la cherokee</text>
  </threadedComment>
</ThreadedComments>
</file>

<file path=xl/threadedComments/threadedComment14.xml><?xml version="1.0" encoding="utf-8"?>
<ThreadedComments xmlns="http://schemas.microsoft.com/office/spreadsheetml/2018/threadedcomments" xmlns:x="http://schemas.openxmlformats.org/spreadsheetml/2006/main">
  <threadedComment ref="L27" dT="2025-07-10T18:49:43.74" personId="{73DE3D6E-2E8A-4FA8-B472-82D275F1C311}" id="{8BB5463E-8C38-46A8-B8BB-658E93ED6225}">
    <text>Préstamo 80,000.00 pesos</text>
  </threadedComment>
  <threadedComment ref="L50" dT="2025-07-10T18:12:38.17" personId="{73DE3D6E-2E8A-4FA8-B472-82D275F1C311}" id="{B731C6F7-6B07-415C-B8A5-7DDF375E0967}">
    <text>Bono por referido - Navarro Alvarado Daniel Eduardo</text>
  </threadedComment>
</ThreadedComments>
</file>

<file path=xl/threadedComments/threadedComment15.xml><?xml version="1.0" encoding="utf-8"?>
<ThreadedComments xmlns="http://schemas.microsoft.com/office/spreadsheetml/2018/threadedcomments" xmlns:x="http://schemas.openxmlformats.org/spreadsheetml/2006/main">
  <threadedComment ref="L51" dT="2025-07-17T16:12:47.34" personId="{73DE3D6E-2E8A-4FA8-B472-82D275F1C311}" id="{A79300EC-7DA4-4FF1-AAE0-DA155F1523F5}">
    <text xml:space="preserve">Bono referido de $1,500.00
</text>
  </threadedComment>
</ThreadedComments>
</file>

<file path=xl/threadedComments/threadedComment16.xml><?xml version="1.0" encoding="utf-8"?>
<ThreadedComments xmlns="http://schemas.microsoft.com/office/spreadsheetml/2018/threadedcomments" xmlns:x="http://schemas.openxmlformats.org/spreadsheetml/2006/main">
  <threadedComment ref="L9" dT="2025-07-24T17:01:19.64" personId="{73DE3D6E-2E8A-4FA8-B472-82D275F1C311}" id="{23BD6F0A-4B56-4819-A490-405CED47E05F}">
    <text xml:space="preserve">Bono mensual, se paga la 2da semana de cada mes hasta diciembre 2025
</text>
  </threadedComment>
  <threadedComment ref="L51" dT="2025-07-24T17:03:40.15" personId="{73DE3D6E-2E8A-4FA8-B472-82D275F1C311}" id="{E69158FC-2B81-4D00-9ED9-334F6A81533F}">
    <text xml:space="preserve">5 bonos referidos, 
Alma Cecilia Pérez
José Juan Ahuja
Isabel Cristina Martínez 
Julieta Zamora
Miriam Alejandra García 
1,500 X 5
</text>
  </threadedComment>
  <threadedComment ref="L59" dT="2025-07-24T17:00:28.07" personId="{73DE3D6E-2E8A-4FA8-B472-82D275F1C311}" id="{9DD043D4-D64E-4B63-852E-4BEF19620C8A}">
    <text xml:space="preserve">Reembolso por concepto de tarjeta de acceso a la oficina Chihuahua
</text>
  </threadedComment>
</ThreadedComments>
</file>

<file path=xl/threadedComments/threadedComment17.xml><?xml version="1.0" encoding="utf-8"?>
<ThreadedComments xmlns="http://schemas.microsoft.com/office/spreadsheetml/2018/threadedcomments" xmlns:x="http://schemas.openxmlformats.org/spreadsheetml/2006/main">
  <threadedComment ref="K10" dT="2025-07-31T22:30:58.09" personId="{73DE3D6E-2E8A-4FA8-B472-82D275F1C311}" id="{CBD7F406-6974-45C7-9903-D1A1070A0E20}">
    <text xml:space="preserve">INCAPACIDAD </text>
  </threadedComment>
  <threadedComment ref="K37" dT="2025-07-31T22:48:04.02" personId="{73DE3D6E-2E8A-4FA8-B472-82D275F1C311}" id="{CF8C2883-80D3-4BC0-8D17-62E76898F783}">
    <text xml:space="preserve">FINIQUITO PENDIENTE
</text>
  </threadedComment>
</ThreadedComments>
</file>

<file path=xl/threadedComments/threadedComment18.xml><?xml version="1.0" encoding="utf-8"?>
<ThreadedComments xmlns="http://schemas.microsoft.com/office/spreadsheetml/2018/threadedcomments" xmlns:x="http://schemas.openxmlformats.org/spreadsheetml/2006/main">
  <threadedComment ref="L9" dT="2025-08-07T15:52:43.24" personId="{73DE3D6E-2E8A-4FA8-B472-82D275F1C311}" id="{CF0AA37E-4BC4-49C6-8CCF-AEC1402F0FE2}">
    <text>Bono mensual, se paga la 2da semana de cada mes hasta diciembre 2025</text>
  </threadedComment>
  <threadedComment ref="L10" dT="2025-08-07T15:55:04.81" personId="{73DE3D6E-2E8A-4FA8-B472-82D275F1C311}" id="{4D1C64D6-F78A-4A01-809C-4117B5F4DE8B}">
    <text xml:space="preserve">Corresponden 537.47, sin embargo, teníamos a favor 260.97,  por lo que le corresponde pagarle 276.50 
</text>
  </threadedComment>
  <threadedComment ref="L10" dT="2025-08-07T15:55:18.90" personId="{73DE3D6E-2E8A-4FA8-B472-82D275F1C311}" id="{C0E10B7F-69DA-4CE7-AB62-8EF01734173B}" parentId="{4D1C64D6-F78A-4A01-809C-4117B5F4DE8B}">
    <text>Ella ya está enterada.</text>
  </threadedComment>
  <threadedComment ref="L36" dT="2025-08-07T15:52:03.30" personId="{73DE3D6E-2E8A-4FA8-B472-82D275F1C311}" id="{577C1353-0250-4C02-ADD5-3DF2F3FC1339}">
    <text>Comisiones</text>
  </threadedComment>
  <threadedComment ref="L49" dT="2025-08-07T16:15:39.03" personId="{73DE3D6E-2E8A-4FA8-B472-82D275F1C311}" id="{D4FB7F1A-F0B5-4A10-864D-08CC4DDE1503}">
    <text>Bono por referidos: 
Francisco Javier Valencia Meneses
Peniche González Anibal Fernando</text>
  </threadedComment>
  <threadedComment ref="L50" dT="2025-08-07T16:16:27.65" personId="{73DE3D6E-2E8A-4FA8-B472-82D275F1C311}" id="{D98F92E7-0C0E-4F2C-A672-F0E517626A1F}">
    <text>Bono por referido:
Uriel Antonio Díaz Guzmán</text>
  </threadedComment>
</ThreadedComments>
</file>

<file path=xl/threadedComments/threadedComment19.xml><?xml version="1.0" encoding="utf-8"?>
<ThreadedComments xmlns="http://schemas.microsoft.com/office/spreadsheetml/2018/threadedcomments" xmlns:x="http://schemas.openxmlformats.org/spreadsheetml/2006/main">
  <threadedComment ref="L48" dT="2025-08-21T16:19:18.94" personId="{73DE3D6E-2E8A-4FA8-B472-82D275F1C311}" id="{C2DDB077-9624-4B89-B402-A8DB812D06BF}">
    <text>Reembolso por Linkedin dos meses julio y agosto</text>
  </threadedComment>
  <threadedComment ref="L48" dT="2025-08-21T20:28:26.62" personId="{73DE3D6E-2E8A-4FA8-B472-82D275F1C311}" id="{E330EF0D-C58C-4DC0-89C0-2B8259E1A0A7}" parentId="{C2DDB077-9624-4B89-B402-A8DB812D06BF}">
    <text xml:space="preserve">Bono por referido: 
Alberto Hernández Islas $1,500.00
Héctor Gerardo Reyna Martíez $1,500.00
Ávaro Javier Ramírez Sansores $1,500.00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K44" dT="2025-02-27T21:53:16.75" personId="{73DE3D6E-2E8A-4FA8-B472-82D275F1C311}" id="{DE500496-328D-4CE5-A89F-DE21B1448C53}">
    <text xml:space="preserve">INCAPACIDAD
</text>
  </threadedComment>
</ThreadedComments>
</file>

<file path=xl/threadedComments/threadedComment20.xml><?xml version="1.0" encoding="utf-8"?>
<ThreadedComments xmlns="http://schemas.microsoft.com/office/spreadsheetml/2018/threadedcomments" xmlns:x="http://schemas.openxmlformats.org/spreadsheetml/2006/main">
  <threadedComment ref="L48" dT="2025-08-28T18:04:50.95" personId="{73DE3D6E-2E8A-4FA8-B472-82D275F1C311}" id="{0026E17C-4969-40EE-A71D-269BBFD529C4}">
    <text xml:space="preserve">Bono por referido
</text>
  </threadedComment>
  <threadedComment ref="L48" dT="2025-08-28T19:27:37.93" personId="{73DE3D6E-2E8A-4FA8-B472-82D275F1C311}" id="{0E2F67E7-03A1-4BC8-A508-372A9E87F89B}" parentId="{0026E17C-4969-40EE-A71D-269BBFD529C4}">
    <text xml:space="preserve">RIVAS Y GUTIERREZ MARIANA VILLASEÑOR
</text>
  </threadedComment>
</ThreadedComments>
</file>

<file path=xl/threadedComments/threadedComment21.xml><?xml version="1.0" encoding="utf-8"?>
<ThreadedComments xmlns="http://schemas.microsoft.com/office/spreadsheetml/2018/threadedcomments" xmlns:x="http://schemas.openxmlformats.org/spreadsheetml/2006/main">
  <threadedComment ref="K6" dT="2025-09-03T19:26:10.59" personId="{73DE3D6E-2E8A-4FA8-B472-82D275F1C311}" id="{A07C5CA2-C797-42CB-A256-F9D986C859EA}">
    <text>03-09-2025 Sí tomo el día de vacaciones</text>
  </threadedComment>
  <threadedComment ref="K38" dT="2025-09-03T19:37:31.23" personId="{73DE3D6E-2E8A-4FA8-B472-82D275F1C311}" id="{7073CDFD-3121-4EB5-8907-AC3721C65FB8}">
    <text>De vacaciones</text>
  </threadedComment>
  <threadedComment ref="L48" dT="2025-09-03T19:55:21.80" personId="{73DE3D6E-2E8A-4FA8-B472-82D275F1C311}" id="{80E42D4A-4A6A-4C6F-817F-999AB72B4E46}">
    <text xml:space="preserve">Bono por referido Galilea de Lucio María del Pilar
Harold Jehová Vázquez </text>
  </threadedComment>
</ThreadedComments>
</file>

<file path=xl/threadedComments/threadedComment22.xml><?xml version="1.0" encoding="utf-8"?>
<ThreadedComments xmlns="http://schemas.microsoft.com/office/spreadsheetml/2018/threadedcomments" xmlns:x="http://schemas.openxmlformats.org/spreadsheetml/2006/main">
  <threadedComment ref="K6" dT="2025-09-11T17:48:29.16" personId="{73DE3D6E-2E8A-4FA8-B472-82D275F1C311}" id="{C0797AD2-5502-4382-8059-950A4B5D6F33}">
    <text>Descuento por GMM de sus hijos 3/4</text>
  </threadedComment>
  <threadedComment ref="L9" dT="2025-08-07T15:52:43.24" personId="{73DE3D6E-2E8A-4FA8-B472-82D275F1C311}" id="{CEA18425-842C-4AD1-A794-B56990EB105B}">
    <text>Bono mensual, se paga la 2da semana de cada mes hasta diciembre 2025</text>
  </threadedComment>
  <threadedComment ref="K11" dT="2025-09-11T17:50:29.60" personId="{73DE3D6E-2E8A-4FA8-B472-82D275F1C311}" id="{6A66687C-D2C8-431E-B585-CD8CF83EE0DC}">
    <text>Sí tomó el 08-09-2025 pagado en la nómina #36</text>
  </threadedComment>
</ThreadedComments>
</file>

<file path=xl/threadedComments/threadedComment23.xml><?xml version="1.0" encoding="utf-8"?>
<ThreadedComments xmlns="http://schemas.microsoft.com/office/spreadsheetml/2018/threadedcomments" xmlns:x="http://schemas.openxmlformats.org/spreadsheetml/2006/main">
  <threadedComment ref="K41" dT="2025-09-25T00:55:15.58" personId="{73DE3D6E-2E8A-4FA8-B472-82D275F1C311}" id="{0358499B-0DE8-40CC-B75B-6B312078A717}">
    <text xml:space="preserve">2 días de vacaciones pagadas en la nomina #38
</text>
  </threadedComment>
</ThreadedComments>
</file>

<file path=xl/threadedComments/threadedComment24.xml><?xml version="1.0" encoding="utf-8"?>
<ThreadedComments xmlns="http://schemas.microsoft.com/office/spreadsheetml/2018/threadedcomments" xmlns:x="http://schemas.openxmlformats.org/spreadsheetml/2006/main">
  <threadedComment ref="L8" dT="2025-08-07T15:52:43.24" personId="{73DE3D6E-2E8A-4FA8-B472-82D275F1C311}" id="{3AA0C27A-9E18-4661-A08D-5ADA0D6D7A56}">
    <text>Bono mensual, se paga la 2da semana de cada mes hasta diciembre 2025</text>
  </threadedComment>
  <threadedComment ref="L21" dT="2025-10-09T19:05:55.80" personId="{73DE3D6E-2E8A-4FA8-B472-82D275F1C311}" id="{2283B157-BF3F-4A87-9A0C-356E5178B674}">
    <text>Prima vacacional del 06 al 08 de octubre</text>
  </threadedComment>
  <threadedComment ref="K28" dT="2025-10-09T19:55:06.23" personId="{73DE3D6E-2E8A-4FA8-B472-82D275F1C311}" id="{88D1FF2D-5D3B-44A0-91EB-E115B579A072}">
    <text xml:space="preserve">Descuento de Fonacot 610.33, por esta ocasión se le descontarán 2 semanas juntas porque la semana pasada no se le descontó. </text>
  </threadedComment>
</ThreadedComments>
</file>

<file path=xl/threadedComments/threadedComment25.xml><?xml version="1.0" encoding="utf-8"?>
<ThreadedComments xmlns="http://schemas.microsoft.com/office/spreadsheetml/2018/threadedcomments" xmlns:x="http://schemas.openxmlformats.org/spreadsheetml/2006/main">
  <threadedComment ref="L47" dT="2025-10-30T18:02:17.14" personId="{73DE3D6E-2E8A-4FA8-B472-82D275F1C311}" id="{F0147F1A-1C60-4325-BF82-0506B57DBD6A}">
    <text>Bono por referido | Luis Gilberto Acuña</text>
  </threadedComment>
  <threadedComment ref="K54" dT="2025-10-29T23:49:20.81" personId="{73DE3D6E-2E8A-4FA8-B472-82D275F1C311}" id="{E4FD5CA3-11E8-4275-95BF-B5AF86AD2AFC}">
    <text xml:space="preserve">Incapacidad 
</text>
  </threadedComment>
</ThreadedComments>
</file>

<file path=xl/threadedComments/threadedComment26.xml><?xml version="1.0" encoding="utf-8"?>
<ThreadedComments xmlns="http://schemas.microsoft.com/office/spreadsheetml/2018/threadedcomments" xmlns:x="http://schemas.openxmlformats.org/spreadsheetml/2006/main">
  <threadedComment ref="K53" dT="2025-11-06T18:36:54.76" personId="{73DE3D6E-2E8A-4FA8-B472-82D275F1C311}" id="{BBC46736-2086-4E02-95FE-33E716311146}">
    <text>Incapacidad</text>
  </threadedComment>
</ThreadedComments>
</file>

<file path=xl/threadedComments/threadedComment27.xml><?xml version="1.0" encoding="utf-8"?>
<ThreadedComments xmlns="http://schemas.microsoft.com/office/spreadsheetml/2018/threadedcomments" xmlns:x="http://schemas.openxmlformats.org/spreadsheetml/2006/main">
  <threadedComment ref="K30" dT="2025-11-13T18:45:33.69" personId="{73DE3D6E-2E8A-4FA8-B472-82D275F1C311}" id="{31C02E51-AF2C-49DA-B58B-98FF8F67D77E}">
    <text>Descuento por incapacidad a partir del 11 -11-2025</text>
  </threadedComment>
  <threadedComment ref="K30" dT="2025-11-13T18:46:34.02" personId="{73DE3D6E-2E8A-4FA8-B472-82D275F1C311}" id="{17CFA152-30AE-4303-81E1-BC4055296A06}" parentId="{31C02E51-AF2C-49DA-B58B-98FF8F67D77E}">
    <text>Queda pendiente el cobro de la comida y desayunos</text>
  </threadedComment>
  <threadedComment ref="L46" dT="2025-11-13T18:27:02.95" personId="{73DE3D6E-2E8A-4FA8-B472-82D275F1C311}" id="{9508A707-AA68-406A-956D-D813C45C0381}">
    <text>Bono por referido | Marco Antonio Vega Vilchis</text>
  </threadedComment>
  <threadedComment ref="K53" dT="2025-11-13T18:50:18.80" personId="{73DE3D6E-2E8A-4FA8-B472-82D275F1C311}" id="{2BB0203D-FA59-4BF1-AB5D-DAAA0FC65AEA}">
    <text>Por incapacidad del 10-11-2025 | IMSS pagó 440.59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K44" dT="2025-02-27T21:53:16.75" personId="{73DE3D6E-2E8A-4FA8-B472-82D275F1C311}" id="{9A4E796A-7536-420B-96A1-31C0E8B277B3}">
    <text xml:space="preserve">INCAPACIDAD
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K44" dT="2025-02-27T21:53:16.75" personId="{73DE3D6E-2E8A-4FA8-B472-82D275F1C311}" id="{AA9CCCA2-ED2B-44F6-B9C4-FE9634F8A390}">
    <text xml:space="preserve">INCAPACIDAD
</text>
  </threadedComment>
  <threadedComment ref="L54" dT="2025-03-13T21:42:51.05" personId="{73DE3D6E-2E8A-4FA8-B472-82D275F1C311}" id="{70B53C4D-B8F3-4AFD-ABE3-0A901BD5DBCE}">
    <text>Bono reclutador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L18" dT="2025-03-20T19:24:42.17" personId="{73DE3D6E-2E8A-4FA8-B472-82D275F1C311}" id="{A74C7299-2E36-4A3A-A6BA-136C9C20AD60}">
    <text xml:space="preserve">Reembolso por concepto de estacionamientos del día 14 de marzo 2025.
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L30" dT="2025-03-27T20:47:56.55" personId="{73DE3D6E-2E8A-4FA8-B472-82D275F1C311}" id="{89CD5076-172B-43C9-B909-8730FC4E57A9}">
    <text>Cables Starlink Amazon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L40" dT="2025-04-10T22:51:35.25" personId="{73DE3D6E-2E8A-4FA8-B472-82D275F1C311}" id="{A3BDFD33-1973-4AC4-A539-612594114C39}">
    <text xml:space="preserve">Reembolso gastos de cambio de nombre en la CESPT
</text>
  </threadedComment>
  <threadedComment ref="L52" dT="2025-04-10T22:53:16.64" personId="{73DE3D6E-2E8A-4FA8-B472-82D275F1C311}" id="{2A7FE0F1-1238-4FB6-AF2D-D5C27DD7C67D}">
    <text xml:space="preserve">Reembolso de Linkedin
</text>
  </threadedComment>
  <threadedComment ref="L53" dT="2025-04-10T23:16:47.66" personId="{73DE3D6E-2E8A-4FA8-B472-82D275F1C311}" id="{A31175FB-8593-41FC-B6B4-4A8E8AF18780}">
    <text>Reembolso por Linkedin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K6" dT="2025-05-15T20:19:01.59" personId="{73DE3D6E-2E8A-4FA8-B472-82D275F1C311}" id="{559D0E53-F3D0-4476-B7B4-94F9FE372B73}">
    <text xml:space="preserve">Descuento por GMM de sus hijos 
Fechas  de descuento 
16 Mayo $ 2,849.18
23 Mayo $2,849.18
05 Septiembre $2,849.18
12 Septiembre $2,849.18
</text>
  </threadedComment>
  <threadedComment ref="L9" dT="2025-05-15T20:17:12.52" personId="{73DE3D6E-2E8A-4FA8-B472-82D275F1C311}" id="{69F4FA24-AE67-4033-8F1E-BCE2205D7FED}">
    <text xml:space="preserve">Indicaciones CCB
</text>
  </threadedComment>
  <threadedComment ref="L50" dT="2025-05-15T20:14:54.04" personId="{73DE3D6E-2E8A-4FA8-B472-82D275F1C311}" id="{BECAAD89-B32A-4F5C-AE99-58E47E88E695}">
    <text>Reembolso de Linkedin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K6" dT="2025-05-15T20:19:01.59" personId="{73DE3D6E-2E8A-4FA8-B472-82D275F1C311}" id="{45D6B755-7666-48C6-A64C-5728D72EA6EC}">
    <text xml:space="preserve">Descuento por GMM de sus hijos 
Fechas  de descuento 
16 Mayo $ 2,849.18
23 Mayo $2,849.18
05 Septiembre $2,849.18
12 Septiembre $2,849.18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Relationship Id="rId4" Type="http://schemas.microsoft.com/office/2017/10/relationships/threadedComment" Target="../threadedComments/threadedComment3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Relationship Id="rId4" Type="http://schemas.microsoft.com/office/2017/10/relationships/threadedComment" Target="../threadedComments/threadedComment4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Relationship Id="rId4" Type="http://schemas.microsoft.com/office/2017/10/relationships/threadedComment" Target="../threadedComments/threadedComment5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Relationship Id="rId4" Type="http://schemas.microsoft.com/office/2017/10/relationships/threadedComment" Target="../threadedComments/threadedComment6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Relationship Id="rId4" Type="http://schemas.microsoft.com/office/2017/10/relationships/threadedComment" Target="../threadedComments/threadedComment7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Relationship Id="rId4" Type="http://schemas.microsoft.com/office/2017/10/relationships/threadedComment" Target="../threadedComments/threadedComment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Relationship Id="rId4" Type="http://schemas.microsoft.com/office/2017/10/relationships/threadedComment" Target="../threadedComments/threadedComment9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Relationship Id="rId4" Type="http://schemas.microsoft.com/office/2017/10/relationships/threadedComment" Target="../threadedComments/threadedComment10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Relationship Id="rId4" Type="http://schemas.microsoft.com/office/2017/10/relationships/threadedComment" Target="../threadedComments/threadedComment11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Relationship Id="rId4" Type="http://schemas.microsoft.com/office/2017/10/relationships/threadedComment" Target="../threadedComments/threadedComment12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Relationship Id="rId4" Type="http://schemas.microsoft.com/office/2017/10/relationships/threadedComment" Target="../threadedComments/threadedComment13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Relationship Id="rId4" Type="http://schemas.microsoft.com/office/2017/10/relationships/threadedComment" Target="../threadedComments/threadedComment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Relationship Id="rId4" Type="http://schemas.microsoft.com/office/2017/10/relationships/threadedComment" Target="../threadedComments/threadedComment15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Relationship Id="rId4" Type="http://schemas.microsoft.com/office/2017/10/relationships/threadedComment" Target="../threadedComments/threadedComment16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Relationship Id="rId4" Type="http://schemas.microsoft.com/office/2017/10/relationships/threadedComment" Target="../threadedComments/threadedComment17.xm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Relationship Id="rId4" Type="http://schemas.microsoft.com/office/2017/10/relationships/threadedComment" Target="../threadedComments/threadedComment18.xml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Relationship Id="rId4" Type="http://schemas.microsoft.com/office/2017/10/relationships/threadedComment" Target="../threadedComments/threadedComment19.xml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Relationship Id="rId4" Type="http://schemas.microsoft.com/office/2017/10/relationships/threadedComment" Target="../threadedComments/threadedComment20.xml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Relationship Id="rId4" Type="http://schemas.microsoft.com/office/2017/10/relationships/threadedComment" Target="../threadedComments/threadedComment21.xml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Relationship Id="rId4" Type="http://schemas.microsoft.com/office/2017/10/relationships/threadedComment" Target="../threadedComments/threadedComment22.xml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Relationship Id="rId4" Type="http://schemas.microsoft.com/office/2017/10/relationships/threadedComment" Target="../threadedComments/threadedComment23.xml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Relationship Id="rId4" Type="http://schemas.microsoft.com/office/2017/10/relationships/threadedComment" Target="../threadedComments/threadedComment24.xml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Relationship Id="rId4" Type="http://schemas.microsoft.com/office/2017/10/relationships/threadedComment" Target="../threadedComments/threadedComment25.xml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6.xml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Relationship Id="rId4" Type="http://schemas.microsoft.com/office/2017/10/relationships/threadedComment" Target="../threadedComments/threadedComment26.xml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7.xml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Relationship Id="rId4" Type="http://schemas.microsoft.com/office/2017/10/relationships/threadedComment" Target="../threadedComments/threadedComment2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Q61"/>
  <sheetViews>
    <sheetView topLeftCell="A27" zoomScaleNormal="100" workbookViewId="0">
      <selection activeCell="H40" sqref="H40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71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4</v>
      </c>
      <c r="B4" s="6" t="s">
        <v>13</v>
      </c>
      <c r="C4" s="7">
        <v>7500</v>
      </c>
      <c r="D4" s="7">
        <v>419.88</v>
      </c>
      <c r="E4" s="8">
        <f>D4*6</f>
        <v>2519.2799999999997</v>
      </c>
      <c r="F4" s="8">
        <f>$D$4</f>
        <v>419.88</v>
      </c>
      <c r="G4" s="9">
        <f>E4+F4</f>
        <v>2939.16</v>
      </c>
      <c r="H4" s="37">
        <v>2807.8</v>
      </c>
      <c r="I4" s="10">
        <v>525</v>
      </c>
      <c r="J4" s="10">
        <v>35</v>
      </c>
      <c r="K4" s="16">
        <v>396.46</v>
      </c>
      <c r="L4" s="12"/>
      <c r="M4" s="13">
        <f>C4-H4-I4+L4-K4-J4</f>
        <v>3735.74</v>
      </c>
      <c r="N4" s="14">
        <f t="shared" ref="N4:N53" si="0">H4+M4</f>
        <v>6543.54</v>
      </c>
      <c r="O4" s="34" t="s">
        <v>48</v>
      </c>
      <c r="P4" s="33">
        <f t="shared" ref="P4:P53" si="1">+M4*0.1</f>
        <v>373.57400000000001</v>
      </c>
      <c r="Q4" s="33">
        <f t="shared" ref="Q4:Q53" si="2">+P4*1.08</f>
        <v>403.45992000000007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3" si="3">D5*6</f>
        <v>2519.2799999999997</v>
      </c>
      <c r="F5" s="8">
        <f>$D$4</f>
        <v>419.88</v>
      </c>
      <c r="G5" s="9">
        <f t="shared" ref="G5:G53" si="4">E5+F5</f>
        <v>2939.16</v>
      </c>
      <c r="H5" s="37">
        <v>3255.2</v>
      </c>
      <c r="I5" s="10">
        <v>450</v>
      </c>
      <c r="J5" s="10">
        <v>0</v>
      </c>
      <c r="K5" s="11"/>
      <c r="L5" s="12"/>
      <c r="M5" s="13">
        <f>C5-H5-I5+L5-K5-J5</f>
        <v>294.80000000000018</v>
      </c>
      <c r="N5" s="14">
        <f t="shared" si="0"/>
        <v>3550</v>
      </c>
      <c r="O5" s="29" t="s">
        <v>47</v>
      </c>
      <c r="P5" s="33">
        <f t="shared" si="1"/>
        <v>29.480000000000018</v>
      </c>
      <c r="Q5" s="33">
        <f t="shared" si="2"/>
        <v>31.838400000000021</v>
      </c>
    </row>
    <row r="6" spans="1:17" x14ac:dyDescent="0.25">
      <c r="A6" s="36">
        <v>14</v>
      </c>
      <c r="B6" s="6" t="s">
        <v>15</v>
      </c>
      <c r="C6" s="7">
        <v>8750</v>
      </c>
      <c r="D6" s="7">
        <v>419.88</v>
      </c>
      <c r="E6" s="8">
        <f t="shared" si="3"/>
        <v>2519.2799999999997</v>
      </c>
      <c r="F6" s="8">
        <f t="shared" ref="F6:F14" si="5">$D$4</f>
        <v>419.88</v>
      </c>
      <c r="G6" s="9">
        <f t="shared" si="4"/>
        <v>2939.16</v>
      </c>
      <c r="H6" s="38">
        <v>1887.6</v>
      </c>
      <c r="I6" s="18">
        <v>0</v>
      </c>
      <c r="J6" s="18">
        <v>140</v>
      </c>
      <c r="K6" s="11">
        <v>3750</v>
      </c>
      <c r="L6" s="12"/>
      <c r="M6" s="13">
        <f t="shared" ref="M6:M53" si="6">C6-H6-I6+L6-K6-J6</f>
        <v>2972.3999999999996</v>
      </c>
      <c r="N6" s="14">
        <f t="shared" si="0"/>
        <v>4860</v>
      </c>
      <c r="O6" s="30" t="s">
        <v>47</v>
      </c>
      <c r="P6" s="33">
        <f t="shared" si="1"/>
        <v>297.23999999999995</v>
      </c>
      <c r="Q6" s="33">
        <f t="shared" si="2"/>
        <v>321.01919999999996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5"/>
        <v>419.88</v>
      </c>
      <c r="G7" s="9">
        <f t="shared" si="4"/>
        <v>2939.16</v>
      </c>
      <c r="H7" s="38">
        <v>3255.2</v>
      </c>
      <c r="I7" s="10">
        <v>75</v>
      </c>
      <c r="J7" s="10">
        <v>70</v>
      </c>
      <c r="K7" s="21"/>
      <c r="L7" s="12"/>
      <c r="M7" s="13">
        <f t="shared" si="6"/>
        <v>599.80000000000018</v>
      </c>
      <c r="N7" s="14">
        <f t="shared" si="0"/>
        <v>3855</v>
      </c>
      <c r="O7" s="36" t="s">
        <v>47</v>
      </c>
      <c r="P7" s="33">
        <f t="shared" si="1"/>
        <v>59.980000000000018</v>
      </c>
      <c r="Q7" s="33">
        <f t="shared" si="2"/>
        <v>64.778400000000019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5"/>
        <v>419.88</v>
      </c>
      <c r="G8" s="9">
        <f t="shared" si="4"/>
        <v>2939.16</v>
      </c>
      <c r="H8" s="37">
        <v>3255.2</v>
      </c>
      <c r="I8" s="10">
        <v>450</v>
      </c>
      <c r="J8" s="10">
        <v>140</v>
      </c>
      <c r="K8" s="11"/>
      <c r="L8" s="19"/>
      <c r="M8" s="13">
        <f t="shared" si="6"/>
        <v>654.80000000000018</v>
      </c>
      <c r="N8" s="14">
        <f t="shared" si="0"/>
        <v>3910</v>
      </c>
      <c r="O8" s="30" t="s">
        <v>47</v>
      </c>
      <c r="P8" s="33">
        <f t="shared" si="1"/>
        <v>65.480000000000018</v>
      </c>
      <c r="Q8" s="33">
        <f t="shared" si="2"/>
        <v>70.718400000000031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5"/>
        <v>419.88</v>
      </c>
      <c r="G9" s="9">
        <f t="shared" si="4"/>
        <v>2939.16</v>
      </c>
      <c r="H9" s="37">
        <v>2997.6</v>
      </c>
      <c r="I9" s="10">
        <v>150</v>
      </c>
      <c r="J9" s="10">
        <v>70</v>
      </c>
      <c r="K9" s="16">
        <v>757.74</v>
      </c>
      <c r="L9" s="19"/>
      <c r="M9" s="13">
        <f t="shared" si="6"/>
        <v>24.660000000000082</v>
      </c>
      <c r="N9" s="14">
        <f t="shared" si="0"/>
        <v>3022.26</v>
      </c>
      <c r="O9" s="30" t="s">
        <v>47</v>
      </c>
      <c r="P9" s="33">
        <f t="shared" si="1"/>
        <v>2.4660000000000082</v>
      </c>
      <c r="Q9" s="33">
        <f t="shared" si="2"/>
        <v>2.6632800000000092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5"/>
        <v>419.88</v>
      </c>
      <c r="G10" s="9">
        <f t="shared" si="4"/>
        <v>2939.16</v>
      </c>
      <c r="H10" s="37">
        <v>3255.2</v>
      </c>
      <c r="I10" s="10">
        <v>75</v>
      </c>
      <c r="J10" s="10">
        <v>0</v>
      </c>
      <c r="K10" s="20"/>
      <c r="L10" s="19"/>
      <c r="M10" s="13">
        <f t="shared" si="6"/>
        <v>669.80000000000018</v>
      </c>
      <c r="N10" s="14">
        <f t="shared" si="0"/>
        <v>3925</v>
      </c>
      <c r="O10" s="30" t="s">
        <v>49</v>
      </c>
      <c r="P10" s="33">
        <f t="shared" si="1"/>
        <v>66.980000000000018</v>
      </c>
      <c r="Q10" s="33">
        <f t="shared" si="2"/>
        <v>72.338400000000021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5"/>
        <v>419.88</v>
      </c>
      <c r="G11" s="9">
        <f t="shared" si="4"/>
        <v>2939.16</v>
      </c>
      <c r="H11" s="37">
        <v>3255.2</v>
      </c>
      <c r="I11" s="10">
        <v>75</v>
      </c>
      <c r="J11" s="10">
        <v>140</v>
      </c>
      <c r="K11" s="11"/>
      <c r="L11" s="19"/>
      <c r="M11" s="13">
        <f>C11-H11-I11+L11-K11-J11</f>
        <v>3529.8</v>
      </c>
      <c r="N11" s="14">
        <f t="shared" si="0"/>
        <v>6785</v>
      </c>
      <c r="O11" s="30" t="s">
        <v>47</v>
      </c>
      <c r="P11" s="33">
        <f t="shared" si="1"/>
        <v>352.98</v>
      </c>
      <c r="Q11" s="33">
        <f t="shared" si="2"/>
        <v>381.21840000000003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5"/>
        <v>419.88</v>
      </c>
      <c r="G12" s="9">
        <f t="shared" si="4"/>
        <v>2939.16</v>
      </c>
      <c r="H12" s="37">
        <v>3255.2</v>
      </c>
      <c r="I12" s="10">
        <v>225</v>
      </c>
      <c r="J12" s="10">
        <v>0</v>
      </c>
      <c r="K12" s="21"/>
      <c r="L12" s="12"/>
      <c r="M12" s="13">
        <f>C12-H12-I12+L12-K12-J12</f>
        <v>1519.8000000000002</v>
      </c>
      <c r="N12" s="14">
        <f t="shared" si="0"/>
        <v>4775</v>
      </c>
      <c r="O12" s="30" t="s">
        <v>47</v>
      </c>
      <c r="P12" s="33">
        <f t="shared" si="1"/>
        <v>151.98000000000002</v>
      </c>
      <c r="Q12" s="33">
        <f t="shared" si="2"/>
        <v>164.13840000000002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5"/>
        <v>419.88</v>
      </c>
      <c r="G13" s="9">
        <f t="shared" si="4"/>
        <v>2939.16</v>
      </c>
      <c r="H13" s="37">
        <v>2719.2</v>
      </c>
      <c r="I13" s="10">
        <v>675</v>
      </c>
      <c r="J13" s="10">
        <v>105.8</v>
      </c>
      <c r="K13" s="21"/>
      <c r="L13" s="12"/>
      <c r="M13" s="13">
        <f>C13-H13-I13+L13-K13-J13</f>
        <v>1.8474111129762605E-13</v>
      </c>
      <c r="N13" s="14">
        <f t="shared" si="0"/>
        <v>2719.2</v>
      </c>
      <c r="O13" s="30" t="s">
        <v>47</v>
      </c>
      <c r="P13" s="33">
        <f t="shared" si="1"/>
        <v>1.8474111129762605E-14</v>
      </c>
      <c r="Q13" s="33">
        <f t="shared" si="2"/>
        <v>1.9952040020143615E-14</v>
      </c>
    </row>
    <row r="14" spans="1:17" x14ac:dyDescent="0.25">
      <c r="A14" s="5">
        <v>149</v>
      </c>
      <c r="B14" s="17" t="s">
        <v>23</v>
      </c>
      <c r="C14" s="7">
        <v>3500</v>
      </c>
      <c r="D14" s="7">
        <v>419.88</v>
      </c>
      <c r="E14" s="8">
        <f t="shared" si="3"/>
        <v>2519.2799999999997</v>
      </c>
      <c r="F14" s="8">
        <f t="shared" si="5"/>
        <v>419.88</v>
      </c>
      <c r="G14" s="9">
        <f t="shared" si="4"/>
        <v>2939.16</v>
      </c>
      <c r="H14" s="37">
        <v>3130</v>
      </c>
      <c r="I14" s="10">
        <v>300</v>
      </c>
      <c r="J14" s="10">
        <v>70</v>
      </c>
      <c r="K14" s="21"/>
      <c r="L14" s="12"/>
      <c r="M14" s="13">
        <f>C14-H14-I14+L14-K14-J14</f>
        <v>0</v>
      </c>
      <c r="N14" s="14">
        <f t="shared" si="0"/>
        <v>3130</v>
      </c>
      <c r="O14" s="30" t="s">
        <v>47</v>
      </c>
      <c r="P14" s="33">
        <f t="shared" si="1"/>
        <v>0</v>
      </c>
      <c r="Q14" s="33">
        <f t="shared" si="2"/>
        <v>0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ref="F15:F22" si="7">$D$4</f>
        <v>419.88</v>
      </c>
      <c r="G15" s="9">
        <f t="shared" si="4"/>
        <v>2939.16</v>
      </c>
      <c r="H15" s="37">
        <v>3255.2</v>
      </c>
      <c r="I15" s="10">
        <v>0</v>
      </c>
      <c r="J15" s="10">
        <v>0</v>
      </c>
      <c r="K15" s="22"/>
      <c r="L15" s="12"/>
      <c r="M15" s="13">
        <f t="shared" si="6"/>
        <v>744.80000000000018</v>
      </c>
      <c r="N15" s="14">
        <f t="shared" si="0"/>
        <v>4000</v>
      </c>
      <c r="O15" s="30" t="s">
        <v>47</v>
      </c>
      <c r="P15" s="33">
        <f t="shared" si="1"/>
        <v>74.480000000000018</v>
      </c>
      <c r="Q15" s="33">
        <f t="shared" si="2"/>
        <v>80.43840000000003</v>
      </c>
    </row>
    <row r="16" spans="1:17" x14ac:dyDescent="0.25">
      <c r="A16" s="5">
        <v>151</v>
      </c>
      <c r="B16" s="6" t="s">
        <v>25</v>
      </c>
      <c r="C16" s="7">
        <v>3500</v>
      </c>
      <c r="D16" s="7">
        <v>419.88</v>
      </c>
      <c r="E16" s="8">
        <f t="shared" si="3"/>
        <v>2519.2799999999997</v>
      </c>
      <c r="F16" s="8">
        <f t="shared" si="7"/>
        <v>419.88</v>
      </c>
      <c r="G16" s="9">
        <f t="shared" si="4"/>
        <v>2939.16</v>
      </c>
      <c r="H16" s="37">
        <v>2827.2</v>
      </c>
      <c r="I16" s="10">
        <v>0</v>
      </c>
      <c r="J16" s="10">
        <v>0</v>
      </c>
      <c r="K16" s="21">
        <v>585</v>
      </c>
      <c r="L16" s="12"/>
      <c r="M16" s="13">
        <f t="shared" si="6"/>
        <v>87.800000000000182</v>
      </c>
      <c r="N16" s="14">
        <f t="shared" si="0"/>
        <v>2915</v>
      </c>
      <c r="O16" s="29" t="s">
        <v>47</v>
      </c>
      <c r="P16" s="33">
        <f t="shared" si="1"/>
        <v>8.7800000000000189</v>
      </c>
      <c r="Q16" s="33">
        <f t="shared" si="2"/>
        <v>9.4824000000000215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7"/>
        <v>419.88</v>
      </c>
      <c r="G17" s="9">
        <f t="shared" si="4"/>
        <v>2939.16</v>
      </c>
      <c r="H17" s="37">
        <v>3366.4</v>
      </c>
      <c r="I17" s="10">
        <v>0</v>
      </c>
      <c r="J17" s="10">
        <v>0</v>
      </c>
      <c r="K17" s="21"/>
      <c r="L17" s="19">
        <v>428.57</v>
      </c>
      <c r="M17" s="13">
        <f t="shared" si="6"/>
        <v>1062.1699999999998</v>
      </c>
      <c r="N17" s="14">
        <f t="shared" si="0"/>
        <v>4428.57</v>
      </c>
      <c r="O17" s="29" t="s">
        <v>47</v>
      </c>
      <c r="P17" s="33">
        <f t="shared" si="1"/>
        <v>106.21699999999998</v>
      </c>
      <c r="Q17" s="33">
        <f t="shared" si="2"/>
        <v>114.71435999999999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7"/>
        <v>419.88</v>
      </c>
      <c r="G18" s="9">
        <f t="shared" si="4"/>
        <v>2939.16</v>
      </c>
      <c r="H18" s="37">
        <v>1987</v>
      </c>
      <c r="I18" s="10">
        <v>75</v>
      </c>
      <c r="J18" s="10">
        <v>0</v>
      </c>
      <c r="K18" s="21"/>
      <c r="L18" s="12"/>
      <c r="M18" s="13">
        <f t="shared" si="6"/>
        <v>1938</v>
      </c>
      <c r="N18" s="14">
        <f t="shared" si="0"/>
        <v>3925</v>
      </c>
      <c r="O18" s="29" t="s">
        <v>47</v>
      </c>
      <c r="P18" s="33">
        <f t="shared" si="1"/>
        <v>193.8</v>
      </c>
      <c r="Q18" s="33">
        <f t="shared" si="2"/>
        <v>209.30400000000003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7"/>
        <v>419.88</v>
      </c>
      <c r="G19" s="9">
        <f t="shared" si="4"/>
        <v>2939.16</v>
      </c>
      <c r="H19" s="37">
        <v>2361.1999999999998</v>
      </c>
      <c r="I19" s="10">
        <v>0</v>
      </c>
      <c r="J19" s="10">
        <v>0</v>
      </c>
      <c r="K19" s="16">
        <v>853.6</v>
      </c>
      <c r="L19" s="19"/>
      <c r="M19" s="13">
        <f t="shared" si="6"/>
        <v>6785.2</v>
      </c>
      <c r="N19" s="14">
        <f t="shared" si="0"/>
        <v>9146.4</v>
      </c>
      <c r="O19" s="29" t="s">
        <v>50</v>
      </c>
      <c r="P19" s="33">
        <f t="shared" si="1"/>
        <v>678.52</v>
      </c>
      <c r="Q19" s="33">
        <f t="shared" si="2"/>
        <v>732.80160000000001</v>
      </c>
    </row>
    <row r="20" spans="1:17" x14ac:dyDescent="0.25">
      <c r="A20" s="5">
        <v>184</v>
      </c>
      <c r="B20" s="6" t="s">
        <v>29</v>
      </c>
      <c r="C20" s="7">
        <v>7000</v>
      </c>
      <c r="D20" s="7">
        <v>419.88</v>
      </c>
      <c r="E20" s="8">
        <f t="shared" si="3"/>
        <v>2519.2799999999997</v>
      </c>
      <c r="F20" s="8">
        <f t="shared" si="7"/>
        <v>419.88</v>
      </c>
      <c r="G20" s="9">
        <f t="shared" si="4"/>
        <v>2939.16</v>
      </c>
      <c r="H20" s="37">
        <v>3255.2</v>
      </c>
      <c r="I20" s="10">
        <v>525</v>
      </c>
      <c r="J20" s="10">
        <v>140</v>
      </c>
      <c r="K20" s="21"/>
      <c r="L20" s="19"/>
      <c r="M20" s="13">
        <f t="shared" si="6"/>
        <v>3079.8</v>
      </c>
      <c r="N20" s="14">
        <f t="shared" si="0"/>
        <v>6335</v>
      </c>
      <c r="O20" s="29" t="s">
        <v>47</v>
      </c>
      <c r="P20" s="33">
        <f t="shared" si="1"/>
        <v>307.98</v>
      </c>
      <c r="Q20" s="33">
        <f t="shared" si="2"/>
        <v>332.61840000000007</v>
      </c>
    </row>
    <row r="21" spans="1:17" x14ac:dyDescent="0.25">
      <c r="A21" s="5">
        <v>197</v>
      </c>
      <c r="B21" s="6" t="s">
        <v>30</v>
      </c>
      <c r="C21" s="7">
        <v>6250</v>
      </c>
      <c r="D21" s="7">
        <v>419.88</v>
      </c>
      <c r="E21" s="8">
        <f>D21*6</f>
        <v>2519.2799999999997</v>
      </c>
      <c r="F21" s="8">
        <f t="shared" si="7"/>
        <v>419.88</v>
      </c>
      <c r="G21" s="9">
        <f>E21+F21</f>
        <v>2939.16</v>
      </c>
      <c r="H21" s="37">
        <v>3025.6</v>
      </c>
      <c r="I21" s="10">
        <v>300</v>
      </c>
      <c r="J21" s="10">
        <v>0</v>
      </c>
      <c r="K21" s="21">
        <v>283.42</v>
      </c>
      <c r="L21" s="19"/>
      <c r="M21" s="13">
        <f t="shared" si="6"/>
        <v>2640.98</v>
      </c>
      <c r="N21" s="14">
        <f t="shared" si="0"/>
        <v>5666.58</v>
      </c>
      <c r="O21" s="29" t="s">
        <v>47</v>
      </c>
      <c r="P21" s="33">
        <f t="shared" si="1"/>
        <v>264.09800000000001</v>
      </c>
      <c r="Q21" s="33">
        <f t="shared" si="2"/>
        <v>285.22584000000001</v>
      </c>
    </row>
    <row r="22" spans="1:17" x14ac:dyDescent="0.25">
      <c r="A22" s="5">
        <v>199</v>
      </c>
      <c r="B22" s="6" t="s">
        <v>31</v>
      </c>
      <c r="C22" s="7">
        <v>4000</v>
      </c>
      <c r="D22" s="7">
        <v>419.88</v>
      </c>
      <c r="E22" s="8">
        <f t="shared" si="3"/>
        <v>2519.2799999999997</v>
      </c>
      <c r="F22" s="8">
        <f t="shared" si="7"/>
        <v>419.88</v>
      </c>
      <c r="G22" s="9">
        <f t="shared" si="4"/>
        <v>2939.16</v>
      </c>
      <c r="H22" s="37">
        <v>3255.2</v>
      </c>
      <c r="I22" s="10">
        <v>0</v>
      </c>
      <c r="J22" s="10">
        <v>0</v>
      </c>
      <c r="K22" s="16">
        <v>500</v>
      </c>
      <c r="L22" s="19"/>
      <c r="M22" s="13">
        <f t="shared" si="6"/>
        <v>244.80000000000018</v>
      </c>
      <c r="N22" s="14">
        <f t="shared" si="0"/>
        <v>3500</v>
      </c>
      <c r="O22" s="29" t="s">
        <v>47</v>
      </c>
      <c r="P22" s="33">
        <f t="shared" si="1"/>
        <v>24.480000000000018</v>
      </c>
      <c r="Q22" s="33">
        <f t="shared" si="2"/>
        <v>26.438400000000023</v>
      </c>
    </row>
    <row r="23" spans="1:17" x14ac:dyDescent="0.25">
      <c r="A23" s="5">
        <v>201</v>
      </c>
      <c r="B23" s="6" t="s">
        <v>32</v>
      </c>
      <c r="C23" s="7">
        <v>5000</v>
      </c>
      <c r="D23" s="7">
        <v>419.88</v>
      </c>
      <c r="E23" s="8">
        <f t="shared" si="3"/>
        <v>2519.2799999999997</v>
      </c>
      <c r="F23" s="8">
        <f t="shared" ref="F23:F39" si="8">$D$4</f>
        <v>419.88</v>
      </c>
      <c r="G23" s="9">
        <f t="shared" si="4"/>
        <v>2939.16</v>
      </c>
      <c r="H23" s="37">
        <v>3255.2</v>
      </c>
      <c r="I23" s="10">
        <v>0</v>
      </c>
      <c r="J23" s="10">
        <v>140</v>
      </c>
      <c r="K23" s="21"/>
      <c r="L23" s="19"/>
      <c r="M23" s="13">
        <f t="shared" si="6"/>
        <v>1604.8000000000002</v>
      </c>
      <c r="N23" s="14">
        <f t="shared" si="0"/>
        <v>4860</v>
      </c>
      <c r="O23" s="29" t="s">
        <v>47</v>
      </c>
      <c r="P23" s="33">
        <f t="shared" si="1"/>
        <v>160.48000000000002</v>
      </c>
      <c r="Q23" s="33">
        <f t="shared" si="2"/>
        <v>173.31840000000003</v>
      </c>
    </row>
    <row r="24" spans="1:17" ht="13.5" customHeight="1" x14ac:dyDescent="0.25">
      <c r="A24" s="5">
        <v>204</v>
      </c>
      <c r="B24" s="6" t="s">
        <v>33</v>
      </c>
      <c r="C24" s="7">
        <v>4000</v>
      </c>
      <c r="D24" s="7">
        <v>419.88</v>
      </c>
      <c r="E24" s="8">
        <f t="shared" si="3"/>
        <v>2519.2799999999997</v>
      </c>
      <c r="F24" s="8">
        <f t="shared" si="8"/>
        <v>419.88</v>
      </c>
      <c r="G24" s="9">
        <f t="shared" si="4"/>
        <v>2939.16</v>
      </c>
      <c r="H24" s="37">
        <v>3255.2</v>
      </c>
      <c r="I24" s="10">
        <v>0</v>
      </c>
      <c r="J24" s="10">
        <v>140</v>
      </c>
      <c r="K24" s="11"/>
      <c r="L24" s="19"/>
      <c r="M24" s="13">
        <f t="shared" si="6"/>
        <v>604.80000000000018</v>
      </c>
      <c r="N24" s="14">
        <f t="shared" si="0"/>
        <v>3860</v>
      </c>
      <c r="O24" s="29" t="s">
        <v>47</v>
      </c>
      <c r="P24" s="33">
        <f t="shared" si="1"/>
        <v>60.480000000000018</v>
      </c>
      <c r="Q24" s="33">
        <f t="shared" si="2"/>
        <v>65.318400000000025</v>
      </c>
    </row>
    <row r="25" spans="1:17" x14ac:dyDescent="0.25">
      <c r="A25" s="5">
        <v>213</v>
      </c>
      <c r="B25" s="6" t="s">
        <v>34</v>
      </c>
      <c r="C25" s="7">
        <v>3500</v>
      </c>
      <c r="D25" s="7">
        <v>419.88</v>
      </c>
      <c r="E25" s="8">
        <f t="shared" si="3"/>
        <v>2519.2799999999997</v>
      </c>
      <c r="F25" s="8">
        <f t="shared" si="8"/>
        <v>419.88</v>
      </c>
      <c r="G25" s="9">
        <f t="shared" si="4"/>
        <v>2939.16</v>
      </c>
      <c r="H25" s="37">
        <v>2859.8</v>
      </c>
      <c r="I25" s="10">
        <v>0</v>
      </c>
      <c r="J25" s="10">
        <v>0</v>
      </c>
      <c r="K25" s="16">
        <v>506.38</v>
      </c>
      <c r="L25" s="19">
        <v>375</v>
      </c>
      <c r="M25" s="13">
        <f t="shared" si="6"/>
        <v>508.81999999999982</v>
      </c>
      <c r="N25" s="14">
        <f t="shared" si="0"/>
        <v>3368.62</v>
      </c>
      <c r="O25" s="29" t="s">
        <v>50</v>
      </c>
      <c r="P25" s="33">
        <f t="shared" si="1"/>
        <v>50.881999999999984</v>
      </c>
      <c r="Q25" s="33">
        <f t="shared" si="2"/>
        <v>54.952559999999984</v>
      </c>
    </row>
    <row r="26" spans="1:17" x14ac:dyDescent="0.25">
      <c r="A26" s="5">
        <v>215</v>
      </c>
      <c r="B26" s="6" t="s">
        <v>35</v>
      </c>
      <c r="C26" s="7">
        <v>5000</v>
      </c>
      <c r="D26" s="7">
        <v>419.88</v>
      </c>
      <c r="E26" s="8">
        <f t="shared" si="3"/>
        <v>2519.2799999999997</v>
      </c>
      <c r="F26" s="8">
        <f t="shared" si="8"/>
        <v>419.88</v>
      </c>
      <c r="G26" s="9">
        <f t="shared" si="4"/>
        <v>2939.16</v>
      </c>
      <c r="H26" s="37">
        <v>3186.4</v>
      </c>
      <c r="I26" s="10">
        <v>225</v>
      </c>
      <c r="J26" s="10">
        <v>105</v>
      </c>
      <c r="K26" s="21">
        <v>314.29000000000002</v>
      </c>
      <c r="L26" s="19">
        <v>178.57</v>
      </c>
      <c r="M26" s="13">
        <f t="shared" si="6"/>
        <v>1347.8799999999999</v>
      </c>
      <c r="N26" s="14">
        <f t="shared" si="0"/>
        <v>4534.28</v>
      </c>
      <c r="O26" s="29" t="s">
        <v>47</v>
      </c>
      <c r="P26" s="33">
        <f t="shared" si="1"/>
        <v>134.78799999999998</v>
      </c>
      <c r="Q26" s="33">
        <f t="shared" si="2"/>
        <v>145.57103999999998</v>
      </c>
    </row>
    <row r="27" spans="1:17" x14ac:dyDescent="0.25">
      <c r="A27" s="5">
        <v>218</v>
      </c>
      <c r="B27" s="6" t="s">
        <v>36</v>
      </c>
      <c r="C27" s="7">
        <v>3500</v>
      </c>
      <c r="D27" s="7">
        <v>419.88</v>
      </c>
      <c r="E27" s="8">
        <f t="shared" si="3"/>
        <v>2519.2799999999997</v>
      </c>
      <c r="F27" s="8">
        <f t="shared" si="8"/>
        <v>419.88</v>
      </c>
      <c r="G27" s="9">
        <f t="shared" si="4"/>
        <v>2939.16</v>
      </c>
      <c r="H27" s="37">
        <v>3255.2</v>
      </c>
      <c r="I27" s="10">
        <v>0</v>
      </c>
      <c r="J27" s="10">
        <v>0</v>
      </c>
      <c r="K27" s="21"/>
      <c r="L27" s="12"/>
      <c r="M27" s="13">
        <f t="shared" si="6"/>
        <v>244.80000000000018</v>
      </c>
      <c r="N27" s="14">
        <f t="shared" si="0"/>
        <v>3500</v>
      </c>
      <c r="O27" s="29" t="s">
        <v>49</v>
      </c>
      <c r="P27" s="33">
        <f t="shared" si="1"/>
        <v>24.480000000000018</v>
      </c>
      <c r="Q27" s="33">
        <f t="shared" si="2"/>
        <v>26.438400000000023</v>
      </c>
    </row>
    <row r="28" spans="1:17" x14ac:dyDescent="0.25">
      <c r="A28" s="5">
        <v>220</v>
      </c>
      <c r="B28" s="6" t="s">
        <v>37</v>
      </c>
      <c r="C28" s="7">
        <v>3500</v>
      </c>
      <c r="D28" s="7">
        <v>419.88</v>
      </c>
      <c r="E28" s="8">
        <f t="shared" si="3"/>
        <v>2519.2799999999997</v>
      </c>
      <c r="F28" s="8">
        <f t="shared" si="8"/>
        <v>419.88</v>
      </c>
      <c r="G28" s="9">
        <f t="shared" si="4"/>
        <v>2939.16</v>
      </c>
      <c r="H28" s="37">
        <v>2875</v>
      </c>
      <c r="I28" s="10">
        <v>450</v>
      </c>
      <c r="J28" s="10">
        <v>175</v>
      </c>
      <c r="K28" s="21"/>
      <c r="L28" s="12"/>
      <c r="M28" s="13">
        <f t="shared" si="6"/>
        <v>0</v>
      </c>
      <c r="N28" s="14">
        <f t="shared" si="0"/>
        <v>2875</v>
      </c>
      <c r="O28" s="29" t="s">
        <v>47</v>
      </c>
      <c r="P28" s="33">
        <f t="shared" si="1"/>
        <v>0</v>
      </c>
      <c r="Q28" s="33">
        <f t="shared" si="2"/>
        <v>0</v>
      </c>
    </row>
    <row r="29" spans="1:17" x14ac:dyDescent="0.25">
      <c r="A29" s="5">
        <v>221</v>
      </c>
      <c r="B29" s="6" t="s">
        <v>38</v>
      </c>
      <c r="C29" s="7">
        <v>4000</v>
      </c>
      <c r="D29" s="7">
        <v>419.88</v>
      </c>
      <c r="E29" s="8">
        <f t="shared" si="3"/>
        <v>2519.2799999999997</v>
      </c>
      <c r="F29" s="8">
        <f t="shared" si="8"/>
        <v>419.88</v>
      </c>
      <c r="G29" s="9">
        <f t="shared" si="4"/>
        <v>2939.16</v>
      </c>
      <c r="H29" s="37">
        <v>3255.2</v>
      </c>
      <c r="I29" s="10">
        <v>525</v>
      </c>
      <c r="J29" s="10">
        <v>175</v>
      </c>
      <c r="K29" s="21"/>
      <c r="L29" s="39"/>
      <c r="M29" s="13">
        <f t="shared" si="6"/>
        <v>44.800000000000182</v>
      </c>
      <c r="N29" s="14">
        <f t="shared" si="0"/>
        <v>3300</v>
      </c>
      <c r="O29" s="29" t="s">
        <v>47</v>
      </c>
      <c r="P29" s="33">
        <f t="shared" si="1"/>
        <v>4.4800000000000182</v>
      </c>
      <c r="Q29" s="33">
        <f t="shared" si="2"/>
        <v>4.8384000000000196</v>
      </c>
    </row>
    <row r="30" spans="1:17" x14ac:dyDescent="0.25">
      <c r="A30" s="5">
        <v>222</v>
      </c>
      <c r="B30" s="6" t="s">
        <v>39</v>
      </c>
      <c r="C30" s="7">
        <v>7000</v>
      </c>
      <c r="D30" s="7">
        <v>419.88</v>
      </c>
      <c r="E30" s="8">
        <f t="shared" si="3"/>
        <v>2519.2799999999997</v>
      </c>
      <c r="F30" s="8">
        <f t="shared" si="8"/>
        <v>419.88</v>
      </c>
      <c r="G30" s="9">
        <f t="shared" si="4"/>
        <v>2939.16</v>
      </c>
      <c r="H30" s="37">
        <v>3255.2</v>
      </c>
      <c r="I30" s="10">
        <v>450</v>
      </c>
      <c r="J30" s="10">
        <v>140</v>
      </c>
      <c r="K30" s="21"/>
      <c r="L30" s="19"/>
      <c r="M30" s="13">
        <f t="shared" si="6"/>
        <v>3154.8</v>
      </c>
      <c r="N30" s="14">
        <f t="shared" si="0"/>
        <v>6410</v>
      </c>
      <c r="O30" s="29" t="s">
        <v>47</v>
      </c>
      <c r="P30" s="33">
        <f t="shared" si="1"/>
        <v>315.48</v>
      </c>
      <c r="Q30" s="33">
        <f t="shared" si="2"/>
        <v>340.71840000000003</v>
      </c>
    </row>
    <row r="31" spans="1:17" x14ac:dyDescent="0.25">
      <c r="A31" s="5">
        <v>226</v>
      </c>
      <c r="B31" s="6" t="s">
        <v>40</v>
      </c>
      <c r="C31" s="7">
        <v>7500</v>
      </c>
      <c r="D31" s="7">
        <v>419.88</v>
      </c>
      <c r="E31" s="8">
        <f t="shared" si="3"/>
        <v>2519.2799999999997</v>
      </c>
      <c r="F31" s="8">
        <f t="shared" si="8"/>
        <v>419.88</v>
      </c>
      <c r="G31" s="9">
        <f t="shared" si="4"/>
        <v>2939.16</v>
      </c>
      <c r="H31" s="37">
        <v>3150.4</v>
      </c>
      <c r="I31" s="10">
        <v>150</v>
      </c>
      <c r="J31" s="10">
        <v>0</v>
      </c>
      <c r="K31" s="21">
        <v>471.43</v>
      </c>
      <c r="L31" s="12"/>
      <c r="M31" s="13">
        <f t="shared" si="6"/>
        <v>3728.1700000000005</v>
      </c>
      <c r="N31" s="14">
        <f t="shared" si="0"/>
        <v>6878.5700000000006</v>
      </c>
      <c r="O31" s="29" t="s">
        <v>47</v>
      </c>
      <c r="P31" s="33">
        <f t="shared" si="1"/>
        <v>372.81700000000006</v>
      </c>
      <c r="Q31" s="33">
        <f t="shared" si="2"/>
        <v>402.64236000000011</v>
      </c>
    </row>
    <row r="32" spans="1:17" x14ac:dyDescent="0.25">
      <c r="A32" s="5">
        <v>227</v>
      </c>
      <c r="B32" s="6" t="s">
        <v>41</v>
      </c>
      <c r="C32" s="7">
        <v>6000</v>
      </c>
      <c r="D32" s="7">
        <v>419.88</v>
      </c>
      <c r="E32" s="8">
        <f t="shared" si="3"/>
        <v>2519.2799999999997</v>
      </c>
      <c r="F32" s="8">
        <f t="shared" si="8"/>
        <v>419.88</v>
      </c>
      <c r="G32" s="9">
        <f t="shared" si="4"/>
        <v>2939.16</v>
      </c>
      <c r="H32" s="37">
        <v>3255.2</v>
      </c>
      <c r="I32" s="10">
        <v>600</v>
      </c>
      <c r="J32" s="10">
        <v>140</v>
      </c>
      <c r="K32" s="21"/>
      <c r="L32" s="12"/>
      <c r="M32" s="13">
        <f t="shared" si="6"/>
        <v>2004.8000000000002</v>
      </c>
      <c r="N32" s="14">
        <f t="shared" si="0"/>
        <v>5260</v>
      </c>
      <c r="O32" s="29" t="s">
        <v>47</v>
      </c>
      <c r="P32" s="33">
        <f t="shared" si="1"/>
        <v>200.48000000000002</v>
      </c>
      <c r="Q32" s="33">
        <f t="shared" si="2"/>
        <v>216.51840000000004</v>
      </c>
    </row>
    <row r="33" spans="1:17" x14ac:dyDescent="0.25">
      <c r="A33" s="5">
        <v>233</v>
      </c>
      <c r="B33" s="6" t="s">
        <v>42</v>
      </c>
      <c r="C33" s="7">
        <v>6250</v>
      </c>
      <c r="D33" s="7">
        <v>419.88</v>
      </c>
      <c r="E33" s="8">
        <f t="shared" si="3"/>
        <v>2519.2799999999997</v>
      </c>
      <c r="F33" s="8">
        <f t="shared" si="8"/>
        <v>419.88</v>
      </c>
      <c r="G33" s="9">
        <f t="shared" si="4"/>
        <v>2939.16</v>
      </c>
      <c r="H33" s="37">
        <v>3255.2</v>
      </c>
      <c r="I33" s="10">
        <v>450</v>
      </c>
      <c r="J33" s="10">
        <v>140</v>
      </c>
      <c r="K33" s="21"/>
      <c r="L33" s="12"/>
      <c r="M33" s="13">
        <f>C33-H33-I33+L33-K33-J33</f>
        <v>2404.8000000000002</v>
      </c>
      <c r="N33" s="14">
        <f t="shared" si="0"/>
        <v>5660</v>
      </c>
      <c r="O33" s="31" t="s">
        <v>47</v>
      </c>
      <c r="P33" s="33">
        <f t="shared" si="1"/>
        <v>240.48000000000002</v>
      </c>
      <c r="Q33" s="33">
        <f t="shared" si="2"/>
        <v>259.71840000000003</v>
      </c>
    </row>
    <row r="34" spans="1:17" x14ac:dyDescent="0.25">
      <c r="A34" s="5">
        <v>237</v>
      </c>
      <c r="B34" s="6" t="s">
        <v>43</v>
      </c>
      <c r="C34" s="7">
        <v>5000</v>
      </c>
      <c r="D34" s="7">
        <v>419.88</v>
      </c>
      <c r="E34" s="8">
        <f t="shared" si="3"/>
        <v>2519.2799999999997</v>
      </c>
      <c r="F34" s="8">
        <f t="shared" si="8"/>
        <v>419.88</v>
      </c>
      <c r="G34" s="9">
        <f t="shared" si="4"/>
        <v>2939.16</v>
      </c>
      <c r="H34" s="37">
        <v>4420.6000000000004</v>
      </c>
      <c r="I34" s="10">
        <v>225</v>
      </c>
      <c r="J34" s="10">
        <v>70</v>
      </c>
      <c r="K34" s="21"/>
      <c r="L34" s="19">
        <v>1071.43</v>
      </c>
      <c r="M34" s="13">
        <f>C34-H34-I34+L34-K34-J34</f>
        <v>1355.8299999999997</v>
      </c>
      <c r="N34" s="14">
        <f>H34+M34</f>
        <v>5776.43</v>
      </c>
      <c r="O34" s="29" t="s">
        <v>47</v>
      </c>
      <c r="P34" s="33">
        <f>+M34*0.1</f>
        <v>135.58299999999997</v>
      </c>
      <c r="Q34" s="33">
        <f t="shared" si="2"/>
        <v>146.42963999999998</v>
      </c>
    </row>
    <row r="35" spans="1:17" x14ac:dyDescent="0.25">
      <c r="A35" s="5">
        <v>244</v>
      </c>
      <c r="B35" s="6" t="s">
        <v>44</v>
      </c>
      <c r="C35" s="7">
        <v>4000</v>
      </c>
      <c r="D35" s="7">
        <v>419.88</v>
      </c>
      <c r="E35" s="8">
        <f t="shared" si="3"/>
        <v>2519.2799999999997</v>
      </c>
      <c r="F35" s="8">
        <f t="shared" si="8"/>
        <v>419.88</v>
      </c>
      <c r="G35" s="9">
        <f t="shared" si="4"/>
        <v>2939.16</v>
      </c>
      <c r="H35" s="37">
        <v>3255.4</v>
      </c>
      <c r="I35" s="10">
        <v>600</v>
      </c>
      <c r="J35" s="10">
        <v>140</v>
      </c>
      <c r="K35" s="21"/>
      <c r="L35" s="12"/>
      <c r="M35" s="13">
        <f>C35-H35-I35+L35-K35-J35</f>
        <v>4.5999999999999091</v>
      </c>
      <c r="N35" s="14">
        <f t="shared" si="0"/>
        <v>3260</v>
      </c>
      <c r="O35" s="29" t="s">
        <v>47</v>
      </c>
      <c r="P35" s="33">
        <f t="shared" si="1"/>
        <v>0.45999999999999092</v>
      </c>
      <c r="Q35" s="33">
        <f t="shared" si="2"/>
        <v>0.49679999999999025</v>
      </c>
    </row>
    <row r="36" spans="1:17" x14ac:dyDescent="0.25">
      <c r="A36" s="5">
        <v>245</v>
      </c>
      <c r="B36" s="6" t="s">
        <v>45</v>
      </c>
      <c r="C36" s="7">
        <v>5000</v>
      </c>
      <c r="D36" s="7">
        <v>419.88</v>
      </c>
      <c r="E36" s="8">
        <f t="shared" si="3"/>
        <v>2519.2799999999997</v>
      </c>
      <c r="F36" s="8">
        <f t="shared" si="8"/>
        <v>419.88</v>
      </c>
      <c r="G36" s="9">
        <f t="shared" si="4"/>
        <v>2939.16</v>
      </c>
      <c r="H36" s="37">
        <v>3255.2</v>
      </c>
      <c r="I36" s="10">
        <v>75</v>
      </c>
      <c r="J36" s="10">
        <v>0</v>
      </c>
      <c r="K36" s="21"/>
      <c r="L36" s="19"/>
      <c r="M36" s="13">
        <f t="shared" si="6"/>
        <v>1669.8000000000002</v>
      </c>
      <c r="N36" s="14">
        <f t="shared" si="0"/>
        <v>4925</v>
      </c>
      <c r="O36" s="34">
        <v>2</v>
      </c>
      <c r="P36" s="33">
        <f t="shared" si="1"/>
        <v>166.98000000000002</v>
      </c>
      <c r="Q36" s="33">
        <f t="shared" si="2"/>
        <v>180.33840000000004</v>
      </c>
    </row>
    <row r="37" spans="1:17" x14ac:dyDescent="0.25">
      <c r="A37" s="5">
        <v>252</v>
      </c>
      <c r="B37" s="6" t="s">
        <v>53</v>
      </c>
      <c r="C37" s="7">
        <v>4000</v>
      </c>
      <c r="D37" s="7">
        <v>419.88</v>
      </c>
      <c r="E37" s="8">
        <f t="shared" si="3"/>
        <v>2519.2799999999997</v>
      </c>
      <c r="F37" s="8">
        <f t="shared" si="8"/>
        <v>419.88</v>
      </c>
      <c r="G37" s="9">
        <f t="shared" si="4"/>
        <v>2939.16</v>
      </c>
      <c r="H37" s="37">
        <v>3255.2</v>
      </c>
      <c r="I37" s="10">
        <v>450</v>
      </c>
      <c r="J37" s="10">
        <v>70</v>
      </c>
      <c r="K37" s="21"/>
      <c r="L37" s="19"/>
      <c r="M37" s="13">
        <f t="shared" si="6"/>
        <v>224.80000000000018</v>
      </c>
      <c r="N37" s="14">
        <f t="shared" si="0"/>
        <v>3480</v>
      </c>
      <c r="O37" s="5" t="s">
        <v>47</v>
      </c>
      <c r="P37" s="33">
        <f t="shared" si="1"/>
        <v>22.480000000000018</v>
      </c>
      <c r="Q37" s="33">
        <f t="shared" si="2"/>
        <v>24.278400000000023</v>
      </c>
    </row>
    <row r="38" spans="1:17" x14ac:dyDescent="0.25">
      <c r="A38" s="5">
        <v>260</v>
      </c>
      <c r="B38" s="6" t="s">
        <v>54</v>
      </c>
      <c r="C38" s="7">
        <v>5000</v>
      </c>
      <c r="D38" s="7">
        <v>419.88</v>
      </c>
      <c r="E38" s="8">
        <f t="shared" si="3"/>
        <v>2519.2799999999997</v>
      </c>
      <c r="F38" s="8">
        <f t="shared" si="8"/>
        <v>419.88</v>
      </c>
      <c r="G38" s="9">
        <f t="shared" si="4"/>
        <v>2939.16</v>
      </c>
      <c r="H38" s="37">
        <v>3446.6</v>
      </c>
      <c r="I38" s="10">
        <v>0</v>
      </c>
      <c r="J38" s="10">
        <v>0</v>
      </c>
      <c r="K38" s="21"/>
      <c r="L38" s="19">
        <v>714.29</v>
      </c>
      <c r="M38" s="13">
        <f t="shared" si="6"/>
        <v>2267.69</v>
      </c>
      <c r="N38" s="14">
        <f t="shared" si="0"/>
        <v>5714.29</v>
      </c>
      <c r="O38" s="5" t="s">
        <v>47</v>
      </c>
      <c r="P38" s="33">
        <f t="shared" si="1"/>
        <v>226.76900000000001</v>
      </c>
      <c r="Q38" s="33">
        <f t="shared" si="2"/>
        <v>244.91052000000002</v>
      </c>
    </row>
    <row r="39" spans="1:17" x14ac:dyDescent="0.25">
      <c r="A39" s="5">
        <v>261</v>
      </c>
      <c r="B39" s="6" t="s">
        <v>55</v>
      </c>
      <c r="C39" s="7">
        <v>4000</v>
      </c>
      <c r="D39" s="7">
        <v>419.88</v>
      </c>
      <c r="E39" s="8">
        <f t="shared" si="3"/>
        <v>2519.2799999999997</v>
      </c>
      <c r="F39" s="8">
        <f t="shared" si="8"/>
        <v>419.88</v>
      </c>
      <c r="G39" s="9">
        <f t="shared" si="4"/>
        <v>2939.16</v>
      </c>
      <c r="H39" s="37">
        <v>2256.4</v>
      </c>
      <c r="I39" s="10">
        <v>525</v>
      </c>
      <c r="J39" s="10">
        <v>140</v>
      </c>
      <c r="K39" s="16">
        <v>935.46</v>
      </c>
      <c r="L39" s="19"/>
      <c r="M39" s="13">
        <f t="shared" si="6"/>
        <v>143.13999999999987</v>
      </c>
      <c r="N39" s="14">
        <f t="shared" si="0"/>
        <v>2399.54</v>
      </c>
      <c r="O39" s="5" t="s">
        <v>47</v>
      </c>
      <c r="P39" s="33">
        <f t="shared" si="1"/>
        <v>14.313999999999988</v>
      </c>
      <c r="Q39" s="33">
        <f t="shared" si="2"/>
        <v>15.459119999999988</v>
      </c>
    </row>
    <row r="40" spans="1:17" x14ac:dyDescent="0.25">
      <c r="A40" s="5">
        <v>267</v>
      </c>
      <c r="B40" s="6" t="s">
        <v>56</v>
      </c>
      <c r="C40" s="7">
        <v>5000</v>
      </c>
      <c r="D40" s="7">
        <v>419.88</v>
      </c>
      <c r="E40" s="8">
        <f t="shared" si="3"/>
        <v>2519.2799999999997</v>
      </c>
      <c r="F40" s="8">
        <f>$D$4</f>
        <v>419.88</v>
      </c>
      <c r="G40" s="9">
        <f t="shared" si="4"/>
        <v>2939.16</v>
      </c>
      <c r="H40" s="37">
        <v>2769.2</v>
      </c>
      <c r="I40" s="10">
        <v>450</v>
      </c>
      <c r="J40" s="10">
        <v>0</v>
      </c>
      <c r="K40" s="16">
        <v>437.64</v>
      </c>
      <c r="L40" s="19"/>
      <c r="M40" s="13">
        <f t="shared" si="6"/>
        <v>1343.1600000000003</v>
      </c>
      <c r="N40" s="14">
        <f t="shared" si="0"/>
        <v>4112.3600000000006</v>
      </c>
      <c r="O40" s="5" t="s">
        <v>47</v>
      </c>
      <c r="P40" s="33">
        <f t="shared" si="1"/>
        <v>134.31600000000003</v>
      </c>
      <c r="Q40" s="33">
        <f t="shared" si="2"/>
        <v>145.06128000000004</v>
      </c>
    </row>
    <row r="41" spans="1:17" x14ac:dyDescent="0.25">
      <c r="A41" s="5">
        <v>268</v>
      </c>
      <c r="B41" s="6" t="s">
        <v>57</v>
      </c>
      <c r="C41" s="7">
        <v>4000</v>
      </c>
      <c r="D41" s="7">
        <v>419.88</v>
      </c>
      <c r="E41" s="8">
        <f t="shared" si="3"/>
        <v>2519.2799999999997</v>
      </c>
      <c r="F41" s="8">
        <f t="shared" ref="F41:F53" si="9">$D$4</f>
        <v>419.88</v>
      </c>
      <c r="G41" s="9">
        <f t="shared" si="4"/>
        <v>2939.16</v>
      </c>
      <c r="H41" s="37">
        <v>3255.4</v>
      </c>
      <c r="I41" s="10">
        <v>75</v>
      </c>
      <c r="J41" s="10">
        <v>0</v>
      </c>
      <c r="K41" s="11"/>
      <c r="L41" s="19"/>
      <c r="M41" s="13">
        <f t="shared" si="6"/>
        <v>669.59999999999991</v>
      </c>
      <c r="N41" s="14">
        <f t="shared" si="0"/>
        <v>3925</v>
      </c>
      <c r="O41" s="5" t="s">
        <v>47</v>
      </c>
      <c r="P41" s="33">
        <f t="shared" si="1"/>
        <v>66.959999999999994</v>
      </c>
      <c r="Q41" s="33">
        <f t="shared" si="2"/>
        <v>72.316800000000001</v>
      </c>
    </row>
    <row r="42" spans="1:17" x14ac:dyDescent="0.25">
      <c r="A42" s="5">
        <v>269</v>
      </c>
      <c r="B42" s="6" t="s">
        <v>58</v>
      </c>
      <c r="C42" s="7">
        <v>5000</v>
      </c>
      <c r="D42" s="7">
        <v>419.88</v>
      </c>
      <c r="E42" s="8">
        <f t="shared" si="3"/>
        <v>2519.2799999999997</v>
      </c>
      <c r="F42" s="8">
        <f t="shared" si="9"/>
        <v>419.88</v>
      </c>
      <c r="G42" s="9">
        <f t="shared" si="4"/>
        <v>2939.16</v>
      </c>
      <c r="H42" s="37">
        <v>3336.6</v>
      </c>
      <c r="I42" s="10">
        <v>600</v>
      </c>
      <c r="J42" s="10">
        <v>140</v>
      </c>
      <c r="K42" s="21"/>
      <c r="L42" s="19">
        <v>178.57</v>
      </c>
      <c r="M42" s="13">
        <f t="shared" si="6"/>
        <v>1101.97</v>
      </c>
      <c r="N42" s="14">
        <f t="shared" si="0"/>
        <v>4438.57</v>
      </c>
      <c r="O42" s="5" t="s">
        <v>47</v>
      </c>
      <c r="P42" s="33">
        <f t="shared" si="1"/>
        <v>110.197</v>
      </c>
      <c r="Q42" s="33">
        <f t="shared" si="2"/>
        <v>119.01276000000001</v>
      </c>
    </row>
    <row r="43" spans="1:17" x14ac:dyDescent="0.25">
      <c r="A43" s="5">
        <v>271</v>
      </c>
      <c r="B43" s="6" t="s">
        <v>59</v>
      </c>
      <c r="C43" s="41">
        <v>3500</v>
      </c>
      <c r="D43" s="7">
        <v>419.88</v>
      </c>
      <c r="E43" s="8">
        <f t="shared" si="3"/>
        <v>2519.2799999999997</v>
      </c>
      <c r="F43" s="8">
        <f t="shared" si="9"/>
        <v>419.88</v>
      </c>
      <c r="G43" s="9">
        <f t="shared" si="4"/>
        <v>2939.16</v>
      </c>
      <c r="H43" s="37">
        <v>2866</v>
      </c>
      <c r="I43" s="10">
        <v>150</v>
      </c>
      <c r="J43" s="10">
        <v>35</v>
      </c>
      <c r="K43" s="21"/>
      <c r="L43" s="19"/>
      <c r="M43" s="13">
        <f t="shared" si="6"/>
        <v>449</v>
      </c>
      <c r="N43" s="14">
        <f t="shared" si="0"/>
        <v>3315</v>
      </c>
      <c r="O43" s="5" t="s">
        <v>47</v>
      </c>
      <c r="P43" s="33">
        <f t="shared" si="1"/>
        <v>44.900000000000006</v>
      </c>
      <c r="Q43" s="33">
        <f t="shared" si="2"/>
        <v>48.492000000000012</v>
      </c>
    </row>
    <row r="44" spans="1:17" x14ac:dyDescent="0.25">
      <c r="A44" s="5">
        <v>275</v>
      </c>
      <c r="B44" s="6" t="s">
        <v>60</v>
      </c>
      <c r="C44" s="7">
        <v>5000</v>
      </c>
      <c r="D44" s="7">
        <v>419.88</v>
      </c>
      <c r="E44" s="8">
        <f t="shared" si="3"/>
        <v>2519.2799999999997</v>
      </c>
      <c r="F44" s="8">
        <f t="shared" si="9"/>
        <v>419.88</v>
      </c>
      <c r="G44" s="9">
        <f t="shared" si="4"/>
        <v>2939.16</v>
      </c>
      <c r="H44" s="37">
        <v>3255.2</v>
      </c>
      <c r="I44" s="10">
        <v>0</v>
      </c>
      <c r="J44" s="10">
        <v>0</v>
      </c>
      <c r="K44" s="21"/>
      <c r="L44" s="19"/>
      <c r="M44" s="13">
        <f t="shared" si="6"/>
        <v>1744.8000000000002</v>
      </c>
      <c r="N44" s="14">
        <f t="shared" si="0"/>
        <v>5000</v>
      </c>
      <c r="O44" s="5" t="s">
        <v>47</v>
      </c>
      <c r="P44" s="33">
        <f t="shared" si="1"/>
        <v>174.48000000000002</v>
      </c>
      <c r="Q44" s="33">
        <f t="shared" si="2"/>
        <v>188.43840000000003</v>
      </c>
    </row>
    <row r="45" spans="1:17" x14ac:dyDescent="0.25">
      <c r="A45" s="5">
        <v>276</v>
      </c>
      <c r="B45" s="6" t="s">
        <v>61</v>
      </c>
      <c r="C45" s="7">
        <v>5000</v>
      </c>
      <c r="D45" s="7">
        <v>419.88</v>
      </c>
      <c r="E45" s="8">
        <f t="shared" si="3"/>
        <v>2519.2799999999997</v>
      </c>
      <c r="F45" s="8">
        <f t="shared" si="9"/>
        <v>419.88</v>
      </c>
      <c r="G45" s="9">
        <f t="shared" si="4"/>
        <v>2939.16</v>
      </c>
      <c r="H45" s="37">
        <v>3255.2</v>
      </c>
      <c r="I45" s="10">
        <v>525</v>
      </c>
      <c r="J45" s="10">
        <v>140</v>
      </c>
      <c r="K45" s="11"/>
      <c r="L45" s="19"/>
      <c r="M45" s="13">
        <f t="shared" si="6"/>
        <v>1079.8000000000002</v>
      </c>
      <c r="N45" s="14">
        <f t="shared" si="0"/>
        <v>4335</v>
      </c>
      <c r="O45" s="5" t="s">
        <v>47</v>
      </c>
      <c r="P45" s="33">
        <f t="shared" si="1"/>
        <v>107.98000000000002</v>
      </c>
      <c r="Q45" s="33">
        <f t="shared" si="2"/>
        <v>116.61840000000002</v>
      </c>
    </row>
    <row r="46" spans="1:17" x14ac:dyDescent="0.25">
      <c r="A46" s="5">
        <v>278</v>
      </c>
      <c r="B46" s="6" t="s">
        <v>62</v>
      </c>
      <c r="C46" s="7">
        <v>5000</v>
      </c>
      <c r="D46" s="7">
        <v>419.88</v>
      </c>
      <c r="E46" s="8">
        <f t="shared" si="3"/>
        <v>2519.2799999999997</v>
      </c>
      <c r="F46" s="8">
        <f t="shared" si="9"/>
        <v>419.88</v>
      </c>
      <c r="G46" s="9">
        <f t="shared" si="4"/>
        <v>2939.16</v>
      </c>
      <c r="H46" s="37">
        <v>3025.6</v>
      </c>
      <c r="I46" s="10">
        <v>150</v>
      </c>
      <c r="J46" s="10">
        <v>0</v>
      </c>
      <c r="K46" s="21">
        <v>283.42</v>
      </c>
      <c r="L46" s="19"/>
      <c r="M46" s="13">
        <f t="shared" si="6"/>
        <v>1540.98</v>
      </c>
      <c r="N46" s="14">
        <f t="shared" si="0"/>
        <v>4566.58</v>
      </c>
      <c r="O46" s="5" t="s">
        <v>47</v>
      </c>
      <c r="P46" s="33">
        <f t="shared" si="1"/>
        <v>154.09800000000001</v>
      </c>
      <c r="Q46" s="33">
        <f t="shared" si="2"/>
        <v>166.42584000000002</v>
      </c>
    </row>
    <row r="47" spans="1:17" x14ac:dyDescent="0.25">
      <c r="A47" s="5">
        <v>279</v>
      </c>
      <c r="B47" s="6" t="s">
        <v>63</v>
      </c>
      <c r="C47" s="7">
        <v>3500</v>
      </c>
      <c r="D47" s="7">
        <v>419.88</v>
      </c>
      <c r="E47" s="8">
        <f t="shared" si="3"/>
        <v>2519.2799999999997</v>
      </c>
      <c r="F47" s="8">
        <f t="shared" si="9"/>
        <v>419.88</v>
      </c>
      <c r="G47" s="9">
        <f t="shared" si="4"/>
        <v>2939.16</v>
      </c>
      <c r="H47" s="37">
        <v>3255.2</v>
      </c>
      <c r="I47" s="10">
        <v>0</v>
      </c>
      <c r="J47" s="10">
        <v>70</v>
      </c>
      <c r="K47" s="11"/>
      <c r="L47" s="19"/>
      <c r="M47" s="13">
        <f t="shared" si="6"/>
        <v>174.80000000000018</v>
      </c>
      <c r="N47" s="14">
        <f t="shared" si="0"/>
        <v>3430</v>
      </c>
      <c r="O47" s="5" t="s">
        <v>47</v>
      </c>
      <c r="P47" s="33">
        <f t="shared" si="1"/>
        <v>17.480000000000018</v>
      </c>
      <c r="Q47" s="33">
        <f t="shared" si="2"/>
        <v>18.87840000000002</v>
      </c>
    </row>
    <row r="48" spans="1:17" x14ac:dyDescent="0.25">
      <c r="A48" s="5">
        <v>280</v>
      </c>
      <c r="B48" s="6" t="s">
        <v>64</v>
      </c>
      <c r="C48" s="7">
        <v>5000</v>
      </c>
      <c r="D48" s="7">
        <v>419.88</v>
      </c>
      <c r="E48" s="8">
        <f t="shared" si="3"/>
        <v>2519.2799999999997</v>
      </c>
      <c r="F48" s="8">
        <f t="shared" si="9"/>
        <v>419.88</v>
      </c>
      <c r="G48" s="9">
        <f t="shared" si="4"/>
        <v>2939.16</v>
      </c>
      <c r="H48" s="37">
        <v>3255.2</v>
      </c>
      <c r="I48" s="10">
        <v>0</v>
      </c>
      <c r="J48" s="10">
        <v>0</v>
      </c>
      <c r="K48" s="11"/>
      <c r="L48" s="19"/>
      <c r="M48" s="13">
        <f t="shared" si="6"/>
        <v>1744.8000000000002</v>
      </c>
      <c r="N48" s="14">
        <f t="shared" si="0"/>
        <v>5000</v>
      </c>
      <c r="O48" s="5" t="s">
        <v>47</v>
      </c>
      <c r="P48" s="33">
        <f t="shared" si="1"/>
        <v>174.48000000000002</v>
      </c>
      <c r="Q48" s="33">
        <f t="shared" si="2"/>
        <v>188.43840000000003</v>
      </c>
    </row>
    <row r="49" spans="1:17" x14ac:dyDescent="0.25">
      <c r="A49" s="5">
        <v>281</v>
      </c>
      <c r="B49" s="6" t="s">
        <v>65</v>
      </c>
      <c r="C49" s="7">
        <v>8750</v>
      </c>
      <c r="D49" s="7">
        <v>419.88</v>
      </c>
      <c r="E49" s="8">
        <f t="shared" si="3"/>
        <v>2519.2799999999997</v>
      </c>
      <c r="F49" s="8">
        <f t="shared" si="9"/>
        <v>419.88</v>
      </c>
      <c r="G49" s="9">
        <f t="shared" si="4"/>
        <v>2939.16</v>
      </c>
      <c r="H49" s="37">
        <v>3255.2</v>
      </c>
      <c r="I49" s="10">
        <v>0</v>
      </c>
      <c r="J49" s="10">
        <v>0</v>
      </c>
      <c r="K49" s="11"/>
      <c r="L49" s="19"/>
      <c r="M49" s="13">
        <f t="shared" si="6"/>
        <v>5494.8</v>
      </c>
      <c r="N49" s="14">
        <f t="shared" si="0"/>
        <v>8750</v>
      </c>
      <c r="O49" s="5" t="s">
        <v>47</v>
      </c>
      <c r="P49" s="33">
        <f t="shared" si="1"/>
        <v>549.48</v>
      </c>
      <c r="Q49" s="33">
        <f t="shared" si="2"/>
        <v>593.43840000000012</v>
      </c>
    </row>
    <row r="50" spans="1:17" x14ac:dyDescent="0.25">
      <c r="A50" s="5">
        <v>283</v>
      </c>
      <c r="B50" s="6" t="s">
        <v>66</v>
      </c>
      <c r="C50" s="7">
        <v>5000</v>
      </c>
      <c r="D50" s="7">
        <v>419.88</v>
      </c>
      <c r="E50" s="8">
        <f t="shared" si="3"/>
        <v>2519.2799999999997</v>
      </c>
      <c r="F50" s="8">
        <f t="shared" si="9"/>
        <v>419.88</v>
      </c>
      <c r="G50" s="9">
        <f t="shared" si="4"/>
        <v>2939.16</v>
      </c>
      <c r="H50" s="37">
        <v>3255.2</v>
      </c>
      <c r="I50" s="10">
        <v>0</v>
      </c>
      <c r="J50" s="10">
        <v>140</v>
      </c>
      <c r="K50" s="11"/>
      <c r="L50" s="19"/>
      <c r="M50" s="13">
        <f t="shared" si="6"/>
        <v>1604.8000000000002</v>
      </c>
      <c r="N50" s="14">
        <f t="shared" si="0"/>
        <v>4860</v>
      </c>
      <c r="O50" s="5" t="s">
        <v>47</v>
      </c>
      <c r="P50" s="33">
        <f t="shared" si="1"/>
        <v>160.48000000000002</v>
      </c>
      <c r="Q50" s="33">
        <f t="shared" si="2"/>
        <v>173.31840000000003</v>
      </c>
    </row>
    <row r="51" spans="1:17" x14ac:dyDescent="0.25">
      <c r="A51" s="5">
        <v>284</v>
      </c>
      <c r="B51" s="6" t="s">
        <v>67</v>
      </c>
      <c r="C51" s="7">
        <v>4000</v>
      </c>
      <c r="D51" s="7">
        <v>419.88</v>
      </c>
      <c r="E51" s="8">
        <f t="shared" si="3"/>
        <v>2519.2799999999997</v>
      </c>
      <c r="F51" s="8">
        <f t="shared" si="9"/>
        <v>419.88</v>
      </c>
      <c r="G51" s="9">
        <f t="shared" si="4"/>
        <v>2939.16</v>
      </c>
      <c r="H51" s="37">
        <v>3255.2</v>
      </c>
      <c r="I51" s="10">
        <v>75</v>
      </c>
      <c r="J51" s="10">
        <v>0</v>
      </c>
      <c r="K51" s="11"/>
      <c r="L51" s="19"/>
      <c r="M51" s="13">
        <f t="shared" si="6"/>
        <v>669.80000000000018</v>
      </c>
      <c r="N51" s="14">
        <f t="shared" si="0"/>
        <v>3925</v>
      </c>
      <c r="O51" s="5" t="s">
        <v>47</v>
      </c>
      <c r="P51" s="33">
        <f t="shared" si="1"/>
        <v>66.980000000000018</v>
      </c>
      <c r="Q51" s="33">
        <f t="shared" si="2"/>
        <v>72.338400000000021</v>
      </c>
    </row>
    <row r="52" spans="1:17" x14ac:dyDescent="0.25">
      <c r="A52" s="5">
        <v>285</v>
      </c>
      <c r="B52" s="6" t="s">
        <v>68</v>
      </c>
      <c r="C52" s="7">
        <v>4000</v>
      </c>
      <c r="D52" s="7">
        <v>419.88</v>
      </c>
      <c r="E52" s="8">
        <f t="shared" si="3"/>
        <v>2519.2799999999997</v>
      </c>
      <c r="F52" s="8">
        <f t="shared" si="9"/>
        <v>419.88</v>
      </c>
      <c r="G52" s="9">
        <f t="shared" si="4"/>
        <v>2939.16</v>
      </c>
      <c r="H52" s="37">
        <v>3255.4</v>
      </c>
      <c r="I52" s="10">
        <v>0</v>
      </c>
      <c r="J52" s="10">
        <v>0</v>
      </c>
      <c r="K52" s="11"/>
      <c r="L52" s="19"/>
      <c r="M52" s="13">
        <f t="shared" si="6"/>
        <v>744.59999999999991</v>
      </c>
      <c r="N52" s="14">
        <f t="shared" si="0"/>
        <v>4000</v>
      </c>
      <c r="O52" s="5" t="s">
        <v>47</v>
      </c>
      <c r="P52" s="33">
        <f t="shared" si="1"/>
        <v>74.459999999999994</v>
      </c>
      <c r="Q52" s="33">
        <f t="shared" si="2"/>
        <v>80.416799999999995</v>
      </c>
    </row>
    <row r="53" spans="1:17" x14ac:dyDescent="0.25">
      <c r="A53" s="5">
        <v>286</v>
      </c>
      <c r="B53" s="6" t="s">
        <v>69</v>
      </c>
      <c r="C53" s="7">
        <v>4000</v>
      </c>
      <c r="D53" s="7">
        <v>419.88</v>
      </c>
      <c r="E53" s="8">
        <f t="shared" si="3"/>
        <v>2519.2799999999997</v>
      </c>
      <c r="F53" s="8">
        <f t="shared" si="9"/>
        <v>419.88</v>
      </c>
      <c r="G53" s="9">
        <f t="shared" si="4"/>
        <v>2939.16</v>
      </c>
      <c r="H53" s="37">
        <v>3255.4</v>
      </c>
      <c r="I53" s="10">
        <v>525</v>
      </c>
      <c r="J53" s="10">
        <v>0</v>
      </c>
      <c r="K53" s="11"/>
      <c r="L53" s="19"/>
      <c r="M53" s="13">
        <f t="shared" si="6"/>
        <v>219.59999999999991</v>
      </c>
      <c r="N53" s="14">
        <f t="shared" si="0"/>
        <v>3475</v>
      </c>
      <c r="O53" s="5" t="s">
        <v>47</v>
      </c>
      <c r="P53" s="33">
        <f t="shared" si="1"/>
        <v>21.959999999999994</v>
      </c>
      <c r="Q53" s="33">
        <f t="shared" si="2"/>
        <v>23.716799999999996</v>
      </c>
    </row>
    <row r="54" spans="1:17" ht="16.149999999999999" customHeight="1" thickBot="1" x14ac:dyDescent="0.3"/>
    <row r="55" spans="1:17" ht="18" thickBot="1" x14ac:dyDescent="0.35">
      <c r="A55" s="23"/>
      <c r="B55" s="24"/>
      <c r="C55" s="25">
        <f t="shared" ref="C55:N55" si="10">SUM(C4:C54)</f>
        <v>247500</v>
      </c>
      <c r="D55" s="25">
        <f t="shared" si="10"/>
        <v>20993.999999999996</v>
      </c>
      <c r="E55" s="25">
        <f t="shared" si="10"/>
        <v>125963.99999999996</v>
      </c>
      <c r="F55" s="25">
        <f t="shared" si="10"/>
        <v>20993.999999999996</v>
      </c>
      <c r="G55" s="25">
        <f t="shared" si="10"/>
        <v>146958.00000000012</v>
      </c>
      <c r="H55" s="25">
        <f>SUM(H4:H54)</f>
        <v>155703.79999999999</v>
      </c>
      <c r="I55" s="26">
        <f t="shared" si="10"/>
        <v>11175</v>
      </c>
      <c r="J55" s="26">
        <f t="shared" si="10"/>
        <v>3010.8</v>
      </c>
      <c r="K55" s="26">
        <f t="shared" si="10"/>
        <v>10074.839999999998</v>
      </c>
      <c r="L55" s="27">
        <f t="shared" si="10"/>
        <v>2946.43</v>
      </c>
      <c r="M55" s="25">
        <f>SUM(M4:M54)</f>
        <v>70481.990000000049</v>
      </c>
      <c r="N55" s="25">
        <f t="shared" si="10"/>
        <v>226185.79</v>
      </c>
      <c r="P55" s="25">
        <f>SUM(P4:P54)</f>
        <v>7048.1989999999969</v>
      </c>
      <c r="Q55" s="25">
        <f>SUM(Q4:Q54)</f>
        <v>7612.0549199999996</v>
      </c>
    </row>
    <row r="56" spans="1:17" x14ac:dyDescent="0.25">
      <c r="H56" s="15"/>
      <c r="M56" s="15"/>
    </row>
    <row r="57" spans="1:17" x14ac:dyDescent="0.25">
      <c r="H57" s="15"/>
      <c r="I57">
        <f>+I55/75</f>
        <v>149</v>
      </c>
      <c r="J57" s="28">
        <f>SUM(J55)/35</f>
        <v>86.022857142857148</v>
      </c>
    </row>
    <row r="58" spans="1:17" x14ac:dyDescent="0.25">
      <c r="F58" s="15"/>
      <c r="H58" s="15">
        <f>H55+M55</f>
        <v>226185.79000000004</v>
      </c>
      <c r="K58" s="15"/>
    </row>
    <row r="59" spans="1:17" x14ac:dyDescent="0.25">
      <c r="H59" s="15">
        <f>'[1]Nom 9'!$H$53</f>
        <v>131178.05999999994</v>
      </c>
      <c r="I59" s="40"/>
      <c r="J59" s="15"/>
    </row>
    <row r="60" spans="1:17" x14ac:dyDescent="0.25">
      <c r="H60" s="15">
        <f>[2]Rino!$H$8</f>
        <v>75398.810000000012</v>
      </c>
    </row>
    <row r="61" spans="1:17" x14ac:dyDescent="0.25">
      <c r="H61" s="15">
        <f>H59+H60</f>
        <v>206576.86999999994</v>
      </c>
    </row>
  </sheetData>
  <autoFilter ref="A3:Q53" xr:uid="{00000000-0009-0000-0000-000000000000}"/>
  <mergeCells count="2">
    <mergeCell ref="A1:N1"/>
    <mergeCell ref="A2:N2"/>
  </mergeCells>
  <pageMargins left="0.25" right="0.25" top="0.75" bottom="0.75" header="0.3" footer="0.3"/>
  <pageSetup scale="54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>
    <pageSetUpPr fitToPage="1"/>
  </sheetPr>
  <dimension ref="A1:R64"/>
  <sheetViews>
    <sheetView showGridLines="0" topLeftCell="A3" zoomScaleNormal="100" workbookViewId="0">
      <selection activeCell="J41" sqref="J41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85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6" si="0">H4+M4</f>
        <v>0</v>
      </c>
      <c r="O4" s="81" t="s">
        <v>48</v>
      </c>
      <c r="P4" s="82">
        <f t="shared" ref="P4:P56" si="1">+M4*0.1</f>
        <v>0</v>
      </c>
      <c r="Q4" s="82">
        <f t="shared" ref="Q4:Q56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6" si="3">D5*6</f>
        <v>2519.2799999999997</v>
      </c>
      <c r="F5" s="8">
        <f t="shared" ref="F5:F56" si="4">$D$4</f>
        <v>419.88</v>
      </c>
      <c r="G5" s="9">
        <f t="shared" ref="G5:G56" si="5">E5+F5</f>
        <v>2939.16</v>
      </c>
      <c r="H5" s="37">
        <v>3354.2</v>
      </c>
      <c r="I5" s="10">
        <v>375</v>
      </c>
      <c r="J5" s="10">
        <v>0</v>
      </c>
      <c r="K5" s="11"/>
      <c r="L5" s="12"/>
      <c r="M5" s="13">
        <f>C5-H5-I5+L5-K5-J5</f>
        <v>270.80000000000018</v>
      </c>
      <c r="N5" s="14">
        <f t="shared" si="0"/>
        <v>3625</v>
      </c>
      <c r="O5" s="29" t="s">
        <v>47</v>
      </c>
      <c r="P5" s="33">
        <f t="shared" si="1"/>
        <v>27.08000000000002</v>
      </c>
      <c r="Q5" s="33">
        <f t="shared" si="2"/>
        <v>29.246400000000023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3354.2</v>
      </c>
      <c r="I6" s="18">
        <v>75</v>
      </c>
      <c r="J6" s="18">
        <v>140</v>
      </c>
      <c r="K6" s="11">
        <v>2000</v>
      </c>
      <c r="L6" s="12"/>
      <c r="M6" s="13">
        <f t="shared" ref="M6:M56" si="6">C6-H6-I6+L6-K6-J6</f>
        <v>9430.7999999999993</v>
      </c>
      <c r="N6" s="14">
        <f t="shared" si="0"/>
        <v>12785</v>
      </c>
      <c r="O6" s="30" t="s">
        <v>47</v>
      </c>
      <c r="P6" s="33">
        <f t="shared" si="1"/>
        <v>943.07999999999993</v>
      </c>
      <c r="Q6" s="33">
        <f t="shared" si="2"/>
        <v>1018.5264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3354.2</v>
      </c>
      <c r="I7" s="10">
        <v>150</v>
      </c>
      <c r="J7" s="10">
        <v>175</v>
      </c>
      <c r="K7" s="21"/>
      <c r="L7" s="12"/>
      <c r="M7" s="13">
        <f t="shared" si="6"/>
        <v>320.80000000000018</v>
      </c>
      <c r="N7" s="14">
        <f t="shared" si="0"/>
        <v>3675</v>
      </c>
      <c r="O7" s="36" t="s">
        <v>47</v>
      </c>
      <c r="P7" s="33">
        <f t="shared" si="1"/>
        <v>32.08000000000002</v>
      </c>
      <c r="Q7" s="33">
        <f t="shared" si="2"/>
        <v>34.646400000000021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225</v>
      </c>
      <c r="J8" s="10">
        <v>35</v>
      </c>
      <c r="K8" s="11"/>
      <c r="L8" s="12"/>
      <c r="M8" s="13">
        <f t="shared" si="6"/>
        <v>885.59999999999991</v>
      </c>
      <c r="N8" s="14">
        <f t="shared" si="0"/>
        <v>4240</v>
      </c>
      <c r="O8" s="30" t="s">
        <v>47</v>
      </c>
      <c r="P8" s="33">
        <f t="shared" si="1"/>
        <v>88.56</v>
      </c>
      <c r="Q8" s="33">
        <f t="shared" si="2"/>
        <v>95.644800000000004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2831.2</v>
      </c>
      <c r="I9" s="10">
        <v>0</v>
      </c>
      <c r="J9" s="10">
        <v>175</v>
      </c>
      <c r="K9" s="16">
        <v>677.62</v>
      </c>
      <c r="L9" s="19">
        <v>285.70999999999998</v>
      </c>
      <c r="M9" s="13">
        <f>C9-H9-I9+L9-K9-J9</f>
        <v>601.89000000000021</v>
      </c>
      <c r="N9" s="14">
        <f t="shared" si="0"/>
        <v>3433.09</v>
      </c>
      <c r="O9" s="30" t="s">
        <v>47</v>
      </c>
      <c r="P9" s="33">
        <f t="shared" si="1"/>
        <v>60.189000000000021</v>
      </c>
      <c r="Q9" s="33">
        <f t="shared" si="2"/>
        <v>65.004120000000029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3354.2</v>
      </c>
      <c r="I10" s="10">
        <v>0</v>
      </c>
      <c r="J10" s="10">
        <v>0</v>
      </c>
      <c r="K10" s="20"/>
      <c r="L10" s="19"/>
      <c r="M10" s="13">
        <f t="shared" si="6"/>
        <v>645.80000000000018</v>
      </c>
      <c r="N10" s="14">
        <f t="shared" si="0"/>
        <v>4000</v>
      </c>
      <c r="O10" s="30" t="s">
        <v>49</v>
      </c>
      <c r="P10" s="33">
        <f t="shared" si="1"/>
        <v>64.580000000000027</v>
      </c>
      <c r="Q10" s="33">
        <f t="shared" si="2"/>
        <v>69.746400000000037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375</v>
      </c>
      <c r="J11" s="10">
        <v>105</v>
      </c>
      <c r="K11" s="11"/>
      <c r="L11" s="12"/>
      <c r="M11" s="13">
        <f>C11-H11-I11+L11-K11-J11</f>
        <v>3165.6</v>
      </c>
      <c r="N11" s="14">
        <f t="shared" si="0"/>
        <v>6520</v>
      </c>
      <c r="O11" s="30" t="s">
        <v>47</v>
      </c>
      <c r="P11" s="33">
        <f t="shared" si="1"/>
        <v>316.56</v>
      </c>
      <c r="Q11" s="33">
        <f t="shared" si="2"/>
        <v>341.88480000000004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3354.2</v>
      </c>
      <c r="I12" s="10">
        <v>225</v>
      </c>
      <c r="J12" s="10">
        <v>35</v>
      </c>
      <c r="K12" s="21"/>
      <c r="L12" s="12"/>
      <c r="M12" s="13">
        <f>C12-H12-I12+L12-K12-J12</f>
        <v>1385.8000000000002</v>
      </c>
      <c r="N12" s="14">
        <f t="shared" si="0"/>
        <v>4740</v>
      </c>
      <c r="O12" s="30" t="s">
        <v>47</v>
      </c>
      <c r="P12" s="33">
        <f t="shared" si="1"/>
        <v>138.58000000000001</v>
      </c>
      <c r="Q12" s="33">
        <f t="shared" si="2"/>
        <v>149.66640000000001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3320</v>
      </c>
      <c r="I13" s="10">
        <v>75</v>
      </c>
      <c r="J13" s="10">
        <v>105</v>
      </c>
      <c r="K13" s="21"/>
      <c r="L13" s="12"/>
      <c r="M13" s="13">
        <f>C13-H13-I13+L13-K13-J13</f>
        <v>0</v>
      </c>
      <c r="N13" s="14">
        <f t="shared" si="0"/>
        <v>3320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3500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2731.8</v>
      </c>
      <c r="I14" s="10">
        <v>300</v>
      </c>
      <c r="J14" s="10">
        <v>175</v>
      </c>
      <c r="K14" s="21">
        <v>293.92</v>
      </c>
      <c r="L14" s="12"/>
      <c r="M14" s="69">
        <f>C14-H14-I14+L14-K14-J14+0.72</f>
        <v>-1.978417429882029E-13</v>
      </c>
      <c r="N14" s="14">
        <f t="shared" si="0"/>
        <v>2731.8</v>
      </c>
      <c r="O14" s="36" t="s">
        <v>47</v>
      </c>
      <c r="P14" s="33">
        <f t="shared" si="1"/>
        <v>-1.9784174298820291E-14</v>
      </c>
      <c r="Q14" s="33">
        <f t="shared" si="2"/>
        <v>-2.1366908242725915E-14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3354.2</v>
      </c>
      <c r="I15" s="10">
        <v>0</v>
      </c>
      <c r="J15" s="10">
        <v>0</v>
      </c>
      <c r="K15" s="11"/>
      <c r="L15" s="12"/>
      <c r="M15" s="13">
        <f t="shared" si="6"/>
        <v>645.80000000000018</v>
      </c>
      <c r="N15" s="14">
        <f t="shared" si="0"/>
        <v>4000</v>
      </c>
      <c r="O15" s="30" t="s">
        <v>47</v>
      </c>
      <c r="P15" s="33">
        <f t="shared" si="1"/>
        <v>64.580000000000027</v>
      </c>
      <c r="Q15" s="33">
        <f t="shared" si="2"/>
        <v>69.746400000000037</v>
      </c>
    </row>
    <row r="16" spans="1:17" x14ac:dyDescent="0.25">
      <c r="A16" s="5">
        <v>151</v>
      </c>
      <c r="B16" s="6" t="s">
        <v>25</v>
      </c>
      <c r="C16" s="7">
        <v>3500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2991.4</v>
      </c>
      <c r="I16" s="10">
        <v>75</v>
      </c>
      <c r="J16" s="10">
        <v>140</v>
      </c>
      <c r="K16" s="21">
        <v>293.92</v>
      </c>
      <c r="L16" s="12"/>
      <c r="M16" s="69">
        <f>C16-H16-I16+L16-K16-J16+0.32</f>
        <v>-1.0685896612017132E-13</v>
      </c>
      <c r="N16" s="14">
        <f t="shared" si="0"/>
        <v>2991.4</v>
      </c>
      <c r="O16" s="29" t="s">
        <v>47</v>
      </c>
      <c r="P16" s="33">
        <f t="shared" si="1"/>
        <v>-1.0685896612017132E-14</v>
      </c>
      <c r="Q16" s="33">
        <f t="shared" si="2"/>
        <v>-1.1540768340978503E-14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3354.4</v>
      </c>
      <c r="I17" s="10">
        <v>0</v>
      </c>
      <c r="J17" s="10">
        <v>0</v>
      </c>
      <c r="K17" s="21"/>
      <c r="L17" s="19"/>
      <c r="M17" s="13">
        <f t="shared" si="6"/>
        <v>645.59999999999991</v>
      </c>
      <c r="N17" s="14">
        <f t="shared" si="0"/>
        <v>4000</v>
      </c>
      <c r="O17" s="29" t="s">
        <v>47</v>
      </c>
      <c r="P17" s="33">
        <f t="shared" si="1"/>
        <v>64.559999999999988</v>
      </c>
      <c r="Q17" s="33">
        <f t="shared" si="2"/>
        <v>69.724799999999988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3354.4</v>
      </c>
      <c r="I18" s="10">
        <v>375</v>
      </c>
      <c r="J18" s="10">
        <v>105</v>
      </c>
      <c r="K18" s="21"/>
      <c r="L18" s="12"/>
      <c r="M18" s="13">
        <f t="shared" si="6"/>
        <v>165.59999999999991</v>
      </c>
      <c r="N18" s="14">
        <f t="shared" si="0"/>
        <v>3520</v>
      </c>
      <c r="O18" s="29" t="s">
        <v>47</v>
      </c>
      <c r="P18" s="33">
        <f t="shared" si="1"/>
        <v>16.559999999999992</v>
      </c>
      <c r="Q18" s="33">
        <f t="shared" si="2"/>
        <v>17.884799999999991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2361</v>
      </c>
      <c r="I19" s="10">
        <v>0</v>
      </c>
      <c r="J19" s="10">
        <v>0</v>
      </c>
      <c r="K19" s="16">
        <v>908.03</v>
      </c>
      <c r="L19" s="19"/>
      <c r="M19" s="13">
        <f t="shared" si="6"/>
        <v>6730.97</v>
      </c>
      <c r="N19" s="14">
        <f t="shared" si="0"/>
        <v>9091.9700000000012</v>
      </c>
      <c r="O19" s="29" t="s">
        <v>50</v>
      </c>
      <c r="P19" s="33">
        <f t="shared" si="1"/>
        <v>673.09700000000009</v>
      </c>
      <c r="Q19" s="33">
        <f t="shared" si="2"/>
        <v>726.9447600000002</v>
      </c>
    </row>
    <row r="20" spans="1:17" x14ac:dyDescent="0.25">
      <c r="A20" s="5">
        <v>184</v>
      </c>
      <c r="B20" s="6" t="s">
        <v>29</v>
      </c>
      <c r="C20" s="7">
        <v>7000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3354.4</v>
      </c>
      <c r="I20" s="10">
        <v>375</v>
      </c>
      <c r="J20" s="10">
        <v>140</v>
      </c>
      <c r="K20" s="21"/>
      <c r="L20" s="19"/>
      <c r="M20" s="13">
        <f t="shared" si="6"/>
        <v>3130.6</v>
      </c>
      <c r="N20" s="14">
        <f t="shared" si="0"/>
        <v>6485</v>
      </c>
      <c r="O20" s="29" t="s">
        <v>47</v>
      </c>
      <c r="P20" s="33">
        <f t="shared" si="1"/>
        <v>313.06</v>
      </c>
      <c r="Q20" s="33">
        <f t="shared" si="2"/>
        <v>338.10480000000001</v>
      </c>
    </row>
    <row r="21" spans="1:17" s="55" customFormat="1" x14ac:dyDescent="0.25">
      <c r="A21" s="5">
        <v>199</v>
      </c>
      <c r="B21" s="6" t="s">
        <v>31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>
        <v>0</v>
      </c>
      <c r="J21" s="10">
        <v>0</v>
      </c>
      <c r="K21" s="16">
        <v>500</v>
      </c>
      <c r="L21" s="19"/>
      <c r="M21" s="13">
        <f t="shared" si="6"/>
        <v>145.59999999999991</v>
      </c>
      <c r="N21" s="14">
        <f t="shared" si="0"/>
        <v>3500</v>
      </c>
      <c r="O21" s="29" t="s">
        <v>47</v>
      </c>
      <c r="P21" s="33">
        <f t="shared" si="1"/>
        <v>14.559999999999992</v>
      </c>
      <c r="Q21" s="33">
        <f t="shared" si="2"/>
        <v>15.724799999999991</v>
      </c>
    </row>
    <row r="22" spans="1:17" s="55" customFormat="1" ht="13.5" customHeight="1" x14ac:dyDescent="0.25">
      <c r="A22" s="5">
        <v>204</v>
      </c>
      <c r="B22" s="6" t="s">
        <v>33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225</v>
      </c>
      <c r="J22" s="10">
        <v>105</v>
      </c>
      <c r="K22" s="11"/>
      <c r="L22" s="19"/>
      <c r="M22" s="13">
        <f t="shared" si="6"/>
        <v>315.59999999999991</v>
      </c>
      <c r="N22" s="14">
        <f t="shared" si="0"/>
        <v>3670</v>
      </c>
      <c r="O22" s="29" t="s">
        <v>47</v>
      </c>
      <c r="P22" s="33">
        <f t="shared" si="1"/>
        <v>31.559999999999992</v>
      </c>
      <c r="Q22" s="33">
        <f t="shared" si="2"/>
        <v>34.084799999999994</v>
      </c>
    </row>
    <row r="23" spans="1:17" s="55" customFormat="1" x14ac:dyDescent="0.25">
      <c r="A23" s="5">
        <v>213</v>
      </c>
      <c r="B23" s="6" t="s">
        <v>34</v>
      </c>
      <c r="C23" s="7">
        <v>4000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2848</v>
      </c>
      <c r="I23" s="10">
        <v>0</v>
      </c>
      <c r="J23" s="10">
        <v>0</v>
      </c>
      <c r="K23" s="16">
        <v>506.38</v>
      </c>
      <c r="L23" s="19"/>
      <c r="M23" s="13">
        <f t="shared" si="6"/>
        <v>645.62</v>
      </c>
      <c r="N23" s="14">
        <f t="shared" si="0"/>
        <v>3493.62</v>
      </c>
      <c r="O23" s="29" t="s">
        <v>50</v>
      </c>
      <c r="P23" s="33">
        <f t="shared" si="1"/>
        <v>64.561999999999998</v>
      </c>
      <c r="Q23" s="33">
        <f t="shared" si="2"/>
        <v>69.726960000000005</v>
      </c>
    </row>
    <row r="24" spans="1:17" s="55" customFormat="1" x14ac:dyDescent="0.25">
      <c r="A24" s="5">
        <v>215</v>
      </c>
      <c r="B24" s="6" t="s">
        <v>35</v>
      </c>
      <c r="C24" s="7">
        <v>5000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3354.2</v>
      </c>
      <c r="I24" s="10">
        <v>375</v>
      </c>
      <c r="J24" s="10">
        <v>70</v>
      </c>
      <c r="K24" s="21"/>
      <c r="L24" s="19"/>
      <c r="M24" s="13">
        <f t="shared" si="6"/>
        <v>1200.8000000000002</v>
      </c>
      <c r="N24" s="14">
        <f t="shared" si="0"/>
        <v>4555</v>
      </c>
      <c r="O24" s="29" t="s">
        <v>47</v>
      </c>
      <c r="P24" s="33">
        <f t="shared" si="1"/>
        <v>120.08000000000003</v>
      </c>
      <c r="Q24" s="33">
        <f t="shared" si="2"/>
        <v>129.68640000000005</v>
      </c>
    </row>
    <row r="25" spans="1:17" s="55" customFormat="1" x14ac:dyDescent="0.25">
      <c r="A25" s="5">
        <v>218</v>
      </c>
      <c r="B25" s="6" t="s">
        <v>36</v>
      </c>
      <c r="C25" s="7">
        <v>3500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7">
        <v>3354.2</v>
      </c>
      <c r="I25" s="10">
        <v>0</v>
      </c>
      <c r="J25" s="10">
        <v>0</v>
      </c>
      <c r="K25" s="21"/>
      <c r="L25" s="12"/>
      <c r="M25" s="13">
        <f t="shared" si="6"/>
        <v>145.80000000000018</v>
      </c>
      <c r="N25" s="14">
        <f t="shared" si="0"/>
        <v>3500</v>
      </c>
      <c r="O25" s="29" t="s">
        <v>49</v>
      </c>
      <c r="P25" s="33">
        <f t="shared" si="1"/>
        <v>14.58000000000002</v>
      </c>
      <c r="Q25" s="33">
        <f t="shared" si="2"/>
        <v>15.746400000000023</v>
      </c>
    </row>
    <row r="26" spans="1:17" s="55" customFormat="1" x14ac:dyDescent="0.25">
      <c r="A26" s="36">
        <v>220</v>
      </c>
      <c r="B26" s="6" t="s">
        <v>37</v>
      </c>
      <c r="C26" s="7">
        <v>4000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8">
        <v>3354.2</v>
      </c>
      <c r="I26" s="10">
        <v>375</v>
      </c>
      <c r="J26" s="10">
        <v>175</v>
      </c>
      <c r="K26" s="21"/>
      <c r="L26" s="12"/>
      <c r="M26" s="13">
        <f t="shared" si="6"/>
        <v>95.800000000000182</v>
      </c>
      <c r="N26" s="14">
        <f t="shared" si="0"/>
        <v>3450</v>
      </c>
      <c r="O26" s="36" t="s">
        <v>47</v>
      </c>
      <c r="P26" s="33">
        <f t="shared" si="1"/>
        <v>9.5800000000000178</v>
      </c>
      <c r="Q26" s="33">
        <f t="shared" si="2"/>
        <v>10.34640000000002</v>
      </c>
    </row>
    <row r="27" spans="1:17" s="55" customFormat="1" x14ac:dyDescent="0.25">
      <c r="A27" s="5">
        <v>221</v>
      </c>
      <c r="B27" s="6" t="s">
        <v>38</v>
      </c>
      <c r="C27" s="7">
        <v>4000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3354.4</v>
      </c>
      <c r="I27" s="10">
        <v>375</v>
      </c>
      <c r="J27" s="10">
        <v>0</v>
      </c>
      <c r="K27" s="21"/>
      <c r="L27" s="12"/>
      <c r="M27" s="13">
        <f t="shared" si="6"/>
        <v>270.59999999999991</v>
      </c>
      <c r="N27" s="14">
        <f t="shared" si="0"/>
        <v>3625</v>
      </c>
      <c r="O27" s="29" t="s">
        <v>47</v>
      </c>
      <c r="P27" s="33">
        <f t="shared" si="1"/>
        <v>27.059999999999992</v>
      </c>
      <c r="Q27" s="33">
        <f t="shared" si="2"/>
        <v>29.224799999999991</v>
      </c>
    </row>
    <row r="28" spans="1:17" s="55" customFormat="1" x14ac:dyDescent="0.25">
      <c r="A28" s="5">
        <v>222</v>
      </c>
      <c r="B28" s="6" t="s">
        <v>39</v>
      </c>
      <c r="C28" s="7">
        <v>7000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3354.2</v>
      </c>
      <c r="I28" s="10">
        <v>375</v>
      </c>
      <c r="J28" s="10">
        <v>140</v>
      </c>
      <c r="K28" s="21"/>
      <c r="L28" s="19"/>
      <c r="M28" s="13">
        <f t="shared" si="6"/>
        <v>3130.8</v>
      </c>
      <c r="N28" s="14">
        <f t="shared" si="0"/>
        <v>6485</v>
      </c>
      <c r="O28" s="29" t="s">
        <v>47</v>
      </c>
      <c r="P28" s="33">
        <f t="shared" si="1"/>
        <v>313.08000000000004</v>
      </c>
      <c r="Q28" s="33">
        <f t="shared" si="2"/>
        <v>338.12640000000005</v>
      </c>
    </row>
    <row r="29" spans="1:17" s="55" customFormat="1" x14ac:dyDescent="0.25">
      <c r="A29" s="5">
        <v>226</v>
      </c>
      <c r="B29" s="6" t="s">
        <v>40</v>
      </c>
      <c r="C29" s="7">
        <v>7500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375</v>
      </c>
      <c r="J29" s="10">
        <v>245</v>
      </c>
      <c r="K29" s="21"/>
      <c r="L29" s="12"/>
      <c r="M29" s="13">
        <f t="shared" si="6"/>
        <v>3525.6000000000004</v>
      </c>
      <c r="N29" s="14">
        <f t="shared" si="0"/>
        <v>6880</v>
      </c>
      <c r="O29" s="29" t="s">
        <v>47</v>
      </c>
      <c r="P29" s="33">
        <f t="shared" si="1"/>
        <v>352.56000000000006</v>
      </c>
      <c r="Q29" s="33">
        <f t="shared" si="2"/>
        <v>380.76480000000009</v>
      </c>
    </row>
    <row r="30" spans="1:17" s="55" customFormat="1" x14ac:dyDescent="0.25">
      <c r="A30" s="5">
        <v>227</v>
      </c>
      <c r="B30" s="6" t="s">
        <v>41</v>
      </c>
      <c r="C30" s="7">
        <v>6000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3354.4</v>
      </c>
      <c r="I30" s="10">
        <v>525</v>
      </c>
      <c r="J30" s="10">
        <v>105</v>
      </c>
      <c r="K30" s="21"/>
      <c r="L30" s="12"/>
      <c r="M30" s="13">
        <f t="shared" si="6"/>
        <v>2015.6</v>
      </c>
      <c r="N30" s="14">
        <f t="shared" si="0"/>
        <v>5370</v>
      </c>
      <c r="O30" s="29" t="s">
        <v>47</v>
      </c>
      <c r="P30" s="33">
        <f t="shared" si="1"/>
        <v>201.56</v>
      </c>
      <c r="Q30" s="33">
        <f t="shared" si="2"/>
        <v>217.68480000000002</v>
      </c>
    </row>
    <row r="31" spans="1:17" s="55" customFormat="1" x14ac:dyDescent="0.25">
      <c r="A31" s="5">
        <v>233</v>
      </c>
      <c r="B31" s="6" t="s">
        <v>42</v>
      </c>
      <c r="C31" s="7">
        <v>6250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3354.4</v>
      </c>
      <c r="I31" s="10">
        <v>375</v>
      </c>
      <c r="J31" s="10">
        <v>140</v>
      </c>
      <c r="K31" s="21"/>
      <c r="L31" s="19"/>
      <c r="M31" s="13">
        <f t="shared" si="6"/>
        <v>2380.6</v>
      </c>
      <c r="N31" s="14">
        <f t="shared" si="0"/>
        <v>5735</v>
      </c>
      <c r="O31" s="31" t="s">
        <v>47</v>
      </c>
      <c r="P31" s="33">
        <f t="shared" si="1"/>
        <v>238.06</v>
      </c>
      <c r="Q31" s="33">
        <f t="shared" si="2"/>
        <v>257.10480000000001</v>
      </c>
    </row>
    <row r="32" spans="1:17" s="55" customFormat="1" x14ac:dyDescent="0.25">
      <c r="A32" s="5">
        <v>237</v>
      </c>
      <c r="B32" s="6" t="s">
        <v>43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375</v>
      </c>
      <c r="J32" s="10">
        <v>105</v>
      </c>
      <c r="K32" s="21"/>
      <c r="L32" s="19"/>
      <c r="M32" s="13">
        <f>C32-H32-I32+L32-K32-J32</f>
        <v>1165.5999999999999</v>
      </c>
      <c r="N32" s="14">
        <f>H32+M32</f>
        <v>4520</v>
      </c>
      <c r="O32" s="29" t="s">
        <v>47</v>
      </c>
      <c r="P32" s="33">
        <f>+M32*0.1</f>
        <v>116.56</v>
      </c>
      <c r="Q32" s="33">
        <f t="shared" si="2"/>
        <v>125.88480000000001</v>
      </c>
    </row>
    <row r="33" spans="1:17" s="55" customFormat="1" x14ac:dyDescent="0.25">
      <c r="A33" s="5">
        <v>244</v>
      </c>
      <c r="B33" s="6" t="s">
        <v>44</v>
      </c>
      <c r="C33" s="7">
        <v>5000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3354.4</v>
      </c>
      <c r="I33" s="10">
        <v>375</v>
      </c>
      <c r="J33" s="10">
        <v>105</v>
      </c>
      <c r="K33" s="21"/>
      <c r="L33" s="12"/>
      <c r="M33" s="13">
        <f>C33-H33-I33+L33-K33-J33</f>
        <v>1165.5999999999999</v>
      </c>
      <c r="N33" s="14">
        <f t="shared" si="0"/>
        <v>4520</v>
      </c>
      <c r="O33" s="29" t="s">
        <v>47</v>
      </c>
      <c r="P33" s="33">
        <f t="shared" si="1"/>
        <v>116.56</v>
      </c>
      <c r="Q33" s="33">
        <f t="shared" si="2"/>
        <v>125.88480000000001</v>
      </c>
    </row>
    <row r="34" spans="1:17" s="55" customFormat="1" x14ac:dyDescent="0.25">
      <c r="A34" s="5">
        <v>245</v>
      </c>
      <c r="B34" s="6" t="s">
        <v>45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3354.4</v>
      </c>
      <c r="I34" s="10">
        <v>75</v>
      </c>
      <c r="J34" s="10">
        <v>0</v>
      </c>
      <c r="K34" s="21"/>
      <c r="L34" s="19"/>
      <c r="M34" s="13">
        <f t="shared" si="6"/>
        <v>1570.6</v>
      </c>
      <c r="N34" s="14">
        <f t="shared" si="0"/>
        <v>4925</v>
      </c>
      <c r="O34" s="34">
        <v>2</v>
      </c>
      <c r="P34" s="33">
        <f t="shared" si="1"/>
        <v>157.06</v>
      </c>
      <c r="Q34" s="33">
        <f t="shared" si="2"/>
        <v>169.62480000000002</v>
      </c>
    </row>
    <row r="35" spans="1:17" s="55" customFormat="1" x14ac:dyDescent="0.25">
      <c r="A35" s="5">
        <v>252</v>
      </c>
      <c r="B35" s="6" t="s">
        <v>53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3354.2</v>
      </c>
      <c r="I35" s="10">
        <v>225</v>
      </c>
      <c r="J35" s="10">
        <v>140</v>
      </c>
      <c r="K35" s="21"/>
      <c r="L35" s="19"/>
      <c r="M35" s="13">
        <f t="shared" si="6"/>
        <v>280.80000000000018</v>
      </c>
      <c r="N35" s="14">
        <f t="shared" si="0"/>
        <v>3635</v>
      </c>
      <c r="O35" s="5" t="s">
        <v>47</v>
      </c>
      <c r="P35" s="33">
        <f t="shared" si="1"/>
        <v>28.08000000000002</v>
      </c>
      <c r="Q35" s="33">
        <f t="shared" si="2"/>
        <v>30.326400000000024</v>
      </c>
    </row>
    <row r="36" spans="1:17" s="55" customFormat="1" x14ac:dyDescent="0.25">
      <c r="A36" s="5">
        <v>260</v>
      </c>
      <c r="B36" s="6" t="s">
        <v>54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3354.4</v>
      </c>
      <c r="I36" s="10">
        <v>0</v>
      </c>
      <c r="J36" s="10">
        <v>0</v>
      </c>
      <c r="K36" s="21"/>
      <c r="L36" s="19"/>
      <c r="M36" s="13">
        <f t="shared" si="6"/>
        <v>1645.6</v>
      </c>
      <c r="N36" s="14">
        <f t="shared" si="0"/>
        <v>5000</v>
      </c>
      <c r="O36" s="5" t="s">
        <v>47</v>
      </c>
      <c r="P36" s="33">
        <f t="shared" si="1"/>
        <v>164.56</v>
      </c>
      <c r="Q36" s="33">
        <f t="shared" si="2"/>
        <v>177.72480000000002</v>
      </c>
    </row>
    <row r="37" spans="1:17" s="55" customFormat="1" x14ac:dyDescent="0.25">
      <c r="A37" s="5">
        <v>261</v>
      </c>
      <c r="B37" s="6" t="s">
        <v>55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2356</v>
      </c>
      <c r="I37" s="10">
        <v>225</v>
      </c>
      <c r="J37" s="10">
        <v>70</v>
      </c>
      <c r="K37" s="16">
        <v>913.35</v>
      </c>
      <c r="L37" s="19"/>
      <c r="M37" s="13">
        <f t="shared" si="6"/>
        <v>435.65</v>
      </c>
      <c r="N37" s="14">
        <f t="shared" si="0"/>
        <v>2791.65</v>
      </c>
      <c r="O37" s="5" t="s">
        <v>47</v>
      </c>
      <c r="P37" s="33">
        <f t="shared" si="1"/>
        <v>43.564999999999998</v>
      </c>
      <c r="Q37" s="33">
        <f t="shared" si="2"/>
        <v>47.050200000000004</v>
      </c>
    </row>
    <row r="38" spans="1:17" s="55" customFormat="1" x14ac:dyDescent="0.25">
      <c r="A38" s="5">
        <v>267</v>
      </c>
      <c r="B38" s="6" t="s">
        <v>56</v>
      </c>
      <c r="C38" s="7">
        <v>5000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2857.2</v>
      </c>
      <c r="I38" s="10">
        <v>375</v>
      </c>
      <c r="J38" s="10">
        <v>70</v>
      </c>
      <c r="K38" s="16">
        <v>427.3</v>
      </c>
      <c r="L38" s="19"/>
      <c r="M38" s="13">
        <f t="shared" si="6"/>
        <v>1270.5000000000002</v>
      </c>
      <c r="N38" s="14">
        <f t="shared" si="0"/>
        <v>4127.7</v>
      </c>
      <c r="O38" s="5" t="s">
        <v>47</v>
      </c>
      <c r="P38" s="33">
        <f t="shared" si="1"/>
        <v>127.05000000000003</v>
      </c>
      <c r="Q38" s="33">
        <f t="shared" si="2"/>
        <v>137.21400000000003</v>
      </c>
    </row>
    <row r="39" spans="1:17" s="55" customFormat="1" x14ac:dyDescent="0.25">
      <c r="A39" s="5">
        <v>268</v>
      </c>
      <c r="B39" s="6" t="s">
        <v>57</v>
      </c>
      <c r="C39" s="7">
        <v>4000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3354.4</v>
      </c>
      <c r="I39" s="10">
        <v>75</v>
      </c>
      <c r="J39" s="10">
        <v>0</v>
      </c>
      <c r="K39" s="11"/>
      <c r="L39" s="19"/>
      <c r="M39" s="13">
        <f t="shared" si="6"/>
        <v>570.59999999999991</v>
      </c>
      <c r="N39" s="14">
        <f t="shared" si="0"/>
        <v>3925</v>
      </c>
      <c r="O39" s="5" t="s">
        <v>47</v>
      </c>
      <c r="P39" s="33">
        <f t="shared" si="1"/>
        <v>57.059999999999995</v>
      </c>
      <c r="Q39" s="33">
        <f t="shared" si="2"/>
        <v>61.6248</v>
      </c>
    </row>
    <row r="40" spans="1:17" s="55" customFormat="1" x14ac:dyDescent="0.25">
      <c r="A40" s="5">
        <v>269</v>
      </c>
      <c r="B40" s="6" t="s">
        <v>58</v>
      </c>
      <c r="C40" s="7">
        <v>5000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3238.8</v>
      </c>
      <c r="I40" s="10">
        <v>300</v>
      </c>
      <c r="J40" s="10">
        <v>105</v>
      </c>
      <c r="K40" s="21">
        <v>314.27999999999997</v>
      </c>
      <c r="L40" s="19"/>
      <c r="M40" s="13">
        <f t="shared" si="6"/>
        <v>1041.9199999999998</v>
      </c>
      <c r="N40" s="14">
        <f t="shared" si="0"/>
        <v>4280.72</v>
      </c>
      <c r="O40" s="5" t="s">
        <v>47</v>
      </c>
      <c r="P40" s="33">
        <f t="shared" si="1"/>
        <v>104.19199999999999</v>
      </c>
      <c r="Q40" s="33">
        <f t="shared" si="2"/>
        <v>112.52736</v>
      </c>
    </row>
    <row r="41" spans="1:17" s="55" customFormat="1" x14ac:dyDescent="0.25">
      <c r="A41" s="5">
        <v>271</v>
      </c>
      <c r="B41" s="6" t="s">
        <v>59</v>
      </c>
      <c r="C41" s="7">
        <v>3500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2165.1999999999998</v>
      </c>
      <c r="I41" s="10">
        <v>225</v>
      </c>
      <c r="J41" s="10">
        <v>35</v>
      </c>
      <c r="K41" s="21">
        <v>1074.8599999999999</v>
      </c>
      <c r="L41" s="19"/>
      <c r="M41" s="69">
        <f>C41-H41-I41+L41-K41-J41+0.06</f>
        <v>2.819411371035585E-13</v>
      </c>
      <c r="N41" s="14">
        <f t="shared" si="0"/>
        <v>2165.2000000000003</v>
      </c>
      <c r="O41" s="5" t="s">
        <v>47</v>
      </c>
      <c r="P41" s="33">
        <f t="shared" si="1"/>
        <v>2.8194113710355852E-14</v>
      </c>
      <c r="Q41" s="33">
        <f t="shared" si="2"/>
        <v>3.0449642807184321E-14</v>
      </c>
    </row>
    <row r="42" spans="1:17" s="55" customFormat="1" x14ac:dyDescent="0.25">
      <c r="A42" s="5">
        <v>275</v>
      </c>
      <c r="B42" s="6" t="s">
        <v>60</v>
      </c>
      <c r="C42" s="7">
        <v>3375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3354.4</v>
      </c>
      <c r="I42" s="10">
        <v>0</v>
      </c>
      <c r="J42" s="10">
        <v>0</v>
      </c>
      <c r="K42" s="21"/>
      <c r="L42" s="19"/>
      <c r="M42" s="13">
        <f t="shared" si="6"/>
        <v>20.599999999999909</v>
      </c>
      <c r="N42" s="14">
        <f t="shared" si="0"/>
        <v>3375</v>
      </c>
      <c r="O42" s="5" t="s">
        <v>47</v>
      </c>
      <c r="P42" s="33">
        <f t="shared" si="1"/>
        <v>2.0599999999999912</v>
      </c>
      <c r="Q42" s="33">
        <f t="shared" si="2"/>
        <v>2.2247999999999908</v>
      </c>
    </row>
    <row r="43" spans="1:17" s="55" customFormat="1" x14ac:dyDescent="0.25">
      <c r="A43" s="5">
        <v>276</v>
      </c>
      <c r="B43" s="6" t="s">
        <v>61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375</v>
      </c>
      <c r="J43" s="10">
        <v>70</v>
      </c>
      <c r="K43" s="11"/>
      <c r="L43" s="19"/>
      <c r="M43" s="13">
        <f t="shared" si="6"/>
        <v>1200.5999999999999</v>
      </c>
      <c r="N43" s="14">
        <f t="shared" si="0"/>
        <v>4555</v>
      </c>
      <c r="O43" s="5" t="s">
        <v>47</v>
      </c>
      <c r="P43" s="33">
        <f t="shared" si="1"/>
        <v>120.06</v>
      </c>
      <c r="Q43" s="33">
        <f t="shared" si="2"/>
        <v>129.66480000000001</v>
      </c>
    </row>
    <row r="44" spans="1:17" s="55" customFormat="1" x14ac:dyDescent="0.25">
      <c r="A44" s="70">
        <v>278</v>
      </c>
      <c r="B44" s="71" t="s">
        <v>62</v>
      </c>
      <c r="C44" s="72">
        <v>5000</v>
      </c>
      <c r="D44" s="72">
        <v>419.88</v>
      </c>
      <c r="E44" s="73">
        <f t="shared" si="3"/>
        <v>2519.2799999999997</v>
      </c>
      <c r="F44" s="73">
        <f t="shared" si="4"/>
        <v>419.88</v>
      </c>
      <c r="G44" s="74">
        <f t="shared" si="5"/>
        <v>2939.16</v>
      </c>
      <c r="H44" s="75">
        <v>0</v>
      </c>
      <c r="I44" s="76">
        <v>0</v>
      </c>
      <c r="J44" s="76">
        <v>0</v>
      </c>
      <c r="K44" s="77">
        <v>3354.4</v>
      </c>
      <c r="L44" s="78"/>
      <c r="M44" s="13">
        <f>C44-H44-I44+L44-K44-J44</f>
        <v>1645.6</v>
      </c>
      <c r="N44" s="80">
        <f t="shared" si="0"/>
        <v>1645.6</v>
      </c>
      <c r="O44" s="70" t="s">
        <v>47</v>
      </c>
      <c r="P44" s="82">
        <f t="shared" si="1"/>
        <v>164.56</v>
      </c>
      <c r="Q44" s="82">
        <f t="shared" si="2"/>
        <v>177.72480000000002</v>
      </c>
    </row>
    <row r="45" spans="1:17" s="55" customFormat="1" x14ac:dyDescent="0.25">
      <c r="A45" s="5">
        <v>279</v>
      </c>
      <c r="B45" s="6" t="s">
        <v>63</v>
      </c>
      <c r="C45" s="7">
        <v>3500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3280.4</v>
      </c>
      <c r="I45" s="10">
        <v>150</v>
      </c>
      <c r="J45" s="10">
        <v>70</v>
      </c>
      <c r="K45" s="21"/>
      <c r="L45" s="19"/>
      <c r="M45" s="69">
        <f>C45-H45-I45+L45-K45-J45+0.4</f>
        <v>-9.0927265716800321E-14</v>
      </c>
      <c r="N45" s="14">
        <f t="shared" si="0"/>
        <v>3280.4</v>
      </c>
      <c r="O45" s="5" t="s">
        <v>47</v>
      </c>
      <c r="P45" s="33">
        <f t="shared" si="1"/>
        <v>-9.0927265716800327E-15</v>
      </c>
      <c r="Q45" s="33">
        <f t="shared" si="2"/>
        <v>-9.820144697414436E-15</v>
      </c>
    </row>
    <row r="46" spans="1:17" s="55" customFormat="1" x14ac:dyDescent="0.25">
      <c r="A46" s="5">
        <v>280</v>
      </c>
      <c r="B46" s="6" t="s">
        <v>64</v>
      </c>
      <c r="C46" s="7">
        <v>5000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3354.4</v>
      </c>
      <c r="I46" s="10">
        <v>0</v>
      </c>
      <c r="J46" s="10">
        <v>0</v>
      </c>
      <c r="K46" s="11"/>
      <c r="L46" s="19"/>
      <c r="M46" s="13">
        <f t="shared" si="6"/>
        <v>1645.6</v>
      </c>
      <c r="N46" s="14">
        <f t="shared" si="0"/>
        <v>5000</v>
      </c>
      <c r="O46" s="5" t="s">
        <v>47</v>
      </c>
      <c r="P46" s="33">
        <f t="shared" si="1"/>
        <v>164.56</v>
      </c>
      <c r="Q46" s="33">
        <f t="shared" si="2"/>
        <v>177.72480000000002</v>
      </c>
    </row>
    <row r="47" spans="1:17" s="55" customFormat="1" x14ac:dyDescent="0.25">
      <c r="A47" s="5">
        <v>281</v>
      </c>
      <c r="B47" s="6" t="s">
        <v>65</v>
      </c>
      <c r="C47" s="7">
        <v>8750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>
        <v>0</v>
      </c>
      <c r="J47" s="10">
        <v>0</v>
      </c>
      <c r="K47" s="11"/>
      <c r="L47" s="19"/>
      <c r="M47" s="13">
        <f t="shared" si="6"/>
        <v>5395.6</v>
      </c>
      <c r="N47" s="14">
        <f t="shared" si="0"/>
        <v>8750</v>
      </c>
      <c r="O47" s="5" t="s">
        <v>47</v>
      </c>
      <c r="P47" s="33">
        <f t="shared" si="1"/>
        <v>539.56000000000006</v>
      </c>
      <c r="Q47" s="33">
        <f t="shared" si="2"/>
        <v>582.72480000000007</v>
      </c>
    </row>
    <row r="48" spans="1:17" x14ac:dyDescent="0.25">
      <c r="A48" s="5">
        <v>283</v>
      </c>
      <c r="B48" s="6" t="s">
        <v>66</v>
      </c>
      <c r="C48" s="7">
        <v>5000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3354.2</v>
      </c>
      <c r="I48" s="10">
        <v>0</v>
      </c>
      <c r="J48" s="10">
        <v>70</v>
      </c>
      <c r="K48" s="11"/>
      <c r="L48" s="19"/>
      <c r="M48" s="13">
        <f t="shared" si="6"/>
        <v>1575.8000000000002</v>
      </c>
      <c r="N48" s="14">
        <f t="shared" si="0"/>
        <v>4930</v>
      </c>
      <c r="O48" s="5" t="s">
        <v>47</v>
      </c>
      <c r="P48" s="33">
        <f t="shared" si="1"/>
        <v>157.58000000000004</v>
      </c>
      <c r="Q48" s="33">
        <f t="shared" si="2"/>
        <v>170.18640000000005</v>
      </c>
    </row>
    <row r="49" spans="1:18" x14ac:dyDescent="0.25">
      <c r="A49" s="5">
        <v>284</v>
      </c>
      <c r="B49" s="6" t="s">
        <v>67</v>
      </c>
      <c r="C49" s="7">
        <v>4000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3354.4</v>
      </c>
      <c r="I49" s="10">
        <v>0</v>
      </c>
      <c r="J49" s="10">
        <v>0</v>
      </c>
      <c r="K49" s="11"/>
      <c r="L49" s="19"/>
      <c r="M49" s="13">
        <f t="shared" si="6"/>
        <v>645.59999999999991</v>
      </c>
      <c r="N49" s="14">
        <f t="shared" si="0"/>
        <v>4000</v>
      </c>
      <c r="O49" s="5" t="s">
        <v>47</v>
      </c>
      <c r="P49" s="33">
        <f t="shared" si="1"/>
        <v>64.559999999999988</v>
      </c>
      <c r="Q49" s="33">
        <f t="shared" si="2"/>
        <v>69.724799999999988</v>
      </c>
    </row>
    <row r="50" spans="1:18" x14ac:dyDescent="0.25">
      <c r="A50" s="5">
        <v>285</v>
      </c>
      <c r="B50" s="6" t="s">
        <v>68</v>
      </c>
      <c r="C50" s="7">
        <v>4000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3354.4</v>
      </c>
      <c r="I50" s="10">
        <v>0</v>
      </c>
      <c r="J50" s="10">
        <v>0</v>
      </c>
      <c r="K50" s="11"/>
      <c r="L50" s="19"/>
      <c r="M50" s="13">
        <f t="shared" si="6"/>
        <v>645.59999999999991</v>
      </c>
      <c r="N50" s="14">
        <f t="shared" si="0"/>
        <v>4000</v>
      </c>
      <c r="O50" s="5" t="s">
        <v>47</v>
      </c>
      <c r="P50" s="33">
        <f t="shared" si="1"/>
        <v>64.559999999999988</v>
      </c>
      <c r="Q50" s="33">
        <f t="shared" si="2"/>
        <v>69.724799999999988</v>
      </c>
    </row>
    <row r="51" spans="1:18" x14ac:dyDescent="0.25">
      <c r="A51" s="5">
        <v>286</v>
      </c>
      <c r="B51" s="6" t="s">
        <v>69</v>
      </c>
      <c r="C51" s="7">
        <v>4000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375</v>
      </c>
      <c r="J51" s="10">
        <v>0</v>
      </c>
      <c r="K51" s="11"/>
      <c r="L51" s="19"/>
      <c r="M51" s="13">
        <f t="shared" si="6"/>
        <v>270.59999999999991</v>
      </c>
      <c r="N51" s="14">
        <f t="shared" si="0"/>
        <v>3625</v>
      </c>
      <c r="O51" s="5" t="s">
        <v>47</v>
      </c>
      <c r="P51" s="33">
        <f t="shared" si="1"/>
        <v>27.059999999999992</v>
      </c>
      <c r="Q51" s="33">
        <f t="shared" si="2"/>
        <v>29.224799999999991</v>
      </c>
    </row>
    <row r="52" spans="1:18" x14ac:dyDescent="0.25">
      <c r="A52" s="5">
        <v>287</v>
      </c>
      <c r="B52" s="6" t="s">
        <v>72</v>
      </c>
      <c r="C52" s="7">
        <v>5000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375</v>
      </c>
      <c r="J52" s="10">
        <v>105</v>
      </c>
      <c r="K52" s="11"/>
      <c r="L52" s="19"/>
      <c r="M52" s="13">
        <f t="shared" si="6"/>
        <v>1165.5999999999999</v>
      </c>
      <c r="N52" s="14">
        <f t="shared" si="0"/>
        <v>4520</v>
      </c>
      <c r="O52" s="5" t="s">
        <v>47</v>
      </c>
      <c r="P52" s="33">
        <f t="shared" si="1"/>
        <v>116.56</v>
      </c>
      <c r="Q52" s="33">
        <f t="shared" si="2"/>
        <v>125.88480000000001</v>
      </c>
    </row>
    <row r="53" spans="1:18" x14ac:dyDescent="0.25">
      <c r="A53" s="5">
        <v>288</v>
      </c>
      <c r="B53" s="6" t="s">
        <v>73</v>
      </c>
      <c r="C53" s="7">
        <v>3500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3354.4</v>
      </c>
      <c r="I53" s="10">
        <v>0</v>
      </c>
      <c r="J53" s="10">
        <v>0</v>
      </c>
      <c r="K53" s="11"/>
      <c r="L53" s="19"/>
      <c r="M53" s="13">
        <f t="shared" si="6"/>
        <v>145.59999999999991</v>
      </c>
      <c r="N53" s="14">
        <f t="shared" si="0"/>
        <v>3500</v>
      </c>
      <c r="O53" s="5" t="s">
        <v>47</v>
      </c>
      <c r="P53" s="33">
        <f t="shared" si="1"/>
        <v>14.559999999999992</v>
      </c>
      <c r="Q53" s="33">
        <f t="shared" si="2"/>
        <v>15.724799999999991</v>
      </c>
    </row>
    <row r="54" spans="1:18" x14ac:dyDescent="0.25">
      <c r="A54" s="5">
        <v>289</v>
      </c>
      <c r="B54" s="6" t="s">
        <v>74</v>
      </c>
      <c r="C54" s="7">
        <v>3500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3354.4</v>
      </c>
      <c r="I54" s="10">
        <v>0</v>
      </c>
      <c r="J54" s="10">
        <v>0</v>
      </c>
      <c r="K54" s="11"/>
      <c r="L54" s="19"/>
      <c r="M54" s="13">
        <f t="shared" si="6"/>
        <v>145.59999999999991</v>
      </c>
      <c r="N54" s="14">
        <f t="shared" si="0"/>
        <v>3500</v>
      </c>
      <c r="O54" s="5" t="s">
        <v>47</v>
      </c>
      <c r="P54" s="33">
        <f t="shared" si="1"/>
        <v>14.559999999999992</v>
      </c>
      <c r="Q54" s="33">
        <f t="shared" si="2"/>
        <v>15.724799999999991</v>
      </c>
    </row>
    <row r="55" spans="1:18" x14ac:dyDescent="0.25">
      <c r="A55" s="5">
        <v>290</v>
      </c>
      <c r="B55" s="6" t="s">
        <v>75</v>
      </c>
      <c r="C55" s="7">
        <v>6250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0</v>
      </c>
      <c r="J55" s="10">
        <v>0</v>
      </c>
      <c r="K55" s="11"/>
      <c r="L55" s="19"/>
      <c r="M55" s="13">
        <f t="shared" si="6"/>
        <v>2895.6</v>
      </c>
      <c r="N55" s="14">
        <f t="shared" si="0"/>
        <v>6250</v>
      </c>
      <c r="O55" s="5" t="s">
        <v>47</v>
      </c>
      <c r="P55" s="33">
        <f t="shared" si="1"/>
        <v>289.56</v>
      </c>
      <c r="Q55" s="33">
        <f t="shared" si="2"/>
        <v>312.72480000000002</v>
      </c>
    </row>
    <row r="56" spans="1:18" x14ac:dyDescent="0.25">
      <c r="A56" s="5">
        <v>291</v>
      </c>
      <c r="B56" s="6" t="s">
        <v>78</v>
      </c>
      <c r="C56" s="7">
        <v>4250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3354.4</v>
      </c>
      <c r="I56" s="10">
        <v>0</v>
      </c>
      <c r="J56" s="10">
        <v>35</v>
      </c>
      <c r="K56" s="11"/>
      <c r="L56" s="19"/>
      <c r="M56" s="13">
        <f t="shared" si="6"/>
        <v>860.59999999999991</v>
      </c>
      <c r="N56" s="14">
        <f t="shared" si="0"/>
        <v>4215</v>
      </c>
      <c r="O56" s="5" t="s">
        <v>47</v>
      </c>
      <c r="P56" s="33">
        <f t="shared" si="1"/>
        <v>86.06</v>
      </c>
      <c r="Q56" s="33">
        <f t="shared" si="2"/>
        <v>92.944800000000015</v>
      </c>
    </row>
    <row r="57" spans="1:18" ht="16.149999999999999" customHeight="1" thickBot="1" x14ac:dyDescent="0.3"/>
    <row r="58" spans="1:18" ht="18" thickBot="1" x14ac:dyDescent="0.35">
      <c r="A58" s="23"/>
      <c r="B58" s="24"/>
      <c r="C58" s="25">
        <f t="shared" ref="C58:N58" si="7">SUM(C4:C57)</f>
        <v>257875</v>
      </c>
      <c r="D58" s="25">
        <f t="shared" si="7"/>
        <v>22253.64</v>
      </c>
      <c r="E58" s="25">
        <f t="shared" si="7"/>
        <v>131002.55999999995</v>
      </c>
      <c r="F58" s="25">
        <f t="shared" si="7"/>
        <v>21833.759999999998</v>
      </c>
      <c r="G58" s="25">
        <f t="shared" si="7"/>
        <v>152836.32000000012</v>
      </c>
      <c r="H58" s="25">
        <f t="shared" si="7"/>
        <v>165154.59999999989</v>
      </c>
      <c r="I58" s="26">
        <f t="shared" si="7"/>
        <v>9150</v>
      </c>
      <c r="J58" s="26">
        <f t="shared" si="7"/>
        <v>3290</v>
      </c>
      <c r="K58" s="26">
        <f t="shared" si="7"/>
        <v>11264.06</v>
      </c>
      <c r="L58" s="27">
        <f t="shared" si="7"/>
        <v>285.70999999999998</v>
      </c>
      <c r="M58" s="25">
        <f t="shared" si="7"/>
        <v>69303.549999999988</v>
      </c>
      <c r="N58" s="25">
        <f t="shared" si="7"/>
        <v>234458.15000000002</v>
      </c>
      <c r="P58" s="25">
        <f>SUM(P4:P57)</f>
        <v>6930.3550000000059</v>
      </c>
      <c r="Q58" s="25">
        <f>SUM(Q4:Q57)</f>
        <v>7484.7833999999993</v>
      </c>
      <c r="R58" s="55">
        <f>+N58+Q58</f>
        <v>241942.93340000001</v>
      </c>
    </row>
    <row r="59" spans="1:18" x14ac:dyDescent="0.25">
      <c r="H59" s="15"/>
      <c r="M59" s="15"/>
    </row>
    <row r="60" spans="1:18" x14ac:dyDescent="0.25">
      <c r="H60" s="15"/>
      <c r="I60">
        <f>+I58/75</f>
        <v>122</v>
      </c>
      <c r="J60" s="28">
        <f>SUM(J58)/35</f>
        <v>94</v>
      </c>
      <c r="R60" s="55">
        <v>12886.8</v>
      </c>
    </row>
    <row r="61" spans="1:18" x14ac:dyDescent="0.25">
      <c r="F61" s="15"/>
      <c r="H61" s="15">
        <f>H58+M58</f>
        <v>234458.14999999988</v>
      </c>
      <c r="K61" s="15"/>
    </row>
    <row r="62" spans="1:18" x14ac:dyDescent="0.25">
      <c r="H62" s="15">
        <f>'[1]Nom 9'!$H$53</f>
        <v>131178.05999999994</v>
      </c>
      <c r="I62" s="40"/>
      <c r="J62" s="15"/>
    </row>
    <row r="63" spans="1:18" x14ac:dyDescent="0.25">
      <c r="H63" s="15">
        <f>[2]Rino!$H$8</f>
        <v>75398.810000000012</v>
      </c>
    </row>
    <row r="64" spans="1:18" x14ac:dyDescent="0.25">
      <c r="H64" s="15">
        <f>H62+H63</f>
        <v>206576.86999999994</v>
      </c>
    </row>
  </sheetData>
  <autoFilter ref="A3:Q56" xr:uid="{00000000-0009-0000-0000-000009000000}"/>
  <mergeCells count="2">
    <mergeCell ref="A1:N1"/>
    <mergeCell ref="A2:N2"/>
  </mergeCells>
  <pageMargins left="0.25" right="0.25" top="0.75" bottom="0.75" header="0.3" footer="0.3"/>
  <pageSetup scale="52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>
    <pageSetUpPr fitToPage="1"/>
  </sheetPr>
  <dimension ref="A1:R64"/>
  <sheetViews>
    <sheetView showGridLines="0" topLeftCell="A28" zoomScaleNormal="100" workbookViewId="0">
      <selection activeCell="L54" sqref="L54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86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6" si="0">H4+M4</f>
        <v>0</v>
      </c>
      <c r="O4" s="81" t="s">
        <v>48</v>
      </c>
      <c r="P4" s="82">
        <f t="shared" ref="P4:P56" si="1">+M4*0.1</f>
        <v>0</v>
      </c>
      <c r="Q4" s="82">
        <f t="shared" ref="Q4:Q56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6" si="3">D5*6</f>
        <v>2519.2799999999997</v>
      </c>
      <c r="F5" s="8">
        <f t="shared" ref="F5:F56" si="4">$D$4</f>
        <v>419.88</v>
      </c>
      <c r="G5" s="9">
        <f t="shared" ref="G5:G56" si="5">E5+F5</f>
        <v>2939.16</v>
      </c>
      <c r="H5" s="37">
        <v>3354.4</v>
      </c>
      <c r="I5" s="10">
        <v>300</v>
      </c>
      <c r="J5" s="10">
        <v>0</v>
      </c>
      <c r="K5" s="11"/>
      <c r="L5" s="12"/>
      <c r="M5" s="13">
        <f>C5-H5-I5+L5-K5-J5</f>
        <v>345.59999999999991</v>
      </c>
      <c r="N5" s="14">
        <f t="shared" si="0"/>
        <v>3700</v>
      </c>
      <c r="O5" s="29" t="s">
        <v>47</v>
      </c>
      <c r="P5" s="33">
        <f t="shared" si="1"/>
        <v>34.559999999999995</v>
      </c>
      <c r="Q5" s="33">
        <f t="shared" si="2"/>
        <v>37.324799999999996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3577.8</v>
      </c>
      <c r="I6" s="18">
        <v>0</v>
      </c>
      <c r="J6" s="18">
        <v>140</v>
      </c>
      <c r="K6" s="11"/>
      <c r="L6" s="12">
        <v>3214.28</v>
      </c>
      <c r="M6" s="13">
        <f t="shared" ref="M6:M56" si="6">C6-H6-I6+L6-K6-J6</f>
        <v>14496.480000000001</v>
      </c>
      <c r="N6" s="14">
        <f t="shared" si="0"/>
        <v>18074.280000000002</v>
      </c>
      <c r="O6" s="30" t="s">
        <v>47</v>
      </c>
      <c r="P6" s="33">
        <f t="shared" si="1"/>
        <v>1449.6480000000001</v>
      </c>
      <c r="Q6" s="33">
        <f t="shared" si="2"/>
        <v>1565.6198400000003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3354.4</v>
      </c>
      <c r="I7" s="10">
        <v>75</v>
      </c>
      <c r="J7" s="10">
        <v>70</v>
      </c>
      <c r="K7" s="21"/>
      <c r="L7" s="12"/>
      <c r="M7" s="13">
        <f t="shared" si="6"/>
        <v>500.59999999999991</v>
      </c>
      <c r="N7" s="14">
        <f t="shared" si="0"/>
        <v>3855</v>
      </c>
      <c r="O7" s="36" t="s">
        <v>47</v>
      </c>
      <c r="P7" s="33">
        <f t="shared" si="1"/>
        <v>50.059999999999995</v>
      </c>
      <c r="Q7" s="33">
        <f t="shared" si="2"/>
        <v>54.064799999999998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3354.2</v>
      </c>
      <c r="I8" s="10">
        <v>75</v>
      </c>
      <c r="J8" s="10">
        <v>0</v>
      </c>
      <c r="K8" s="11"/>
      <c r="L8" s="12"/>
      <c r="M8" s="13">
        <f t="shared" si="6"/>
        <v>1070.8000000000002</v>
      </c>
      <c r="N8" s="14">
        <f t="shared" si="0"/>
        <v>4425</v>
      </c>
      <c r="O8" s="30" t="s">
        <v>47</v>
      </c>
      <c r="P8" s="33">
        <f t="shared" si="1"/>
        <v>107.08000000000003</v>
      </c>
      <c r="Q8" s="33">
        <f t="shared" si="2"/>
        <v>115.64640000000004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3096.6</v>
      </c>
      <c r="I9" s="10">
        <v>150</v>
      </c>
      <c r="J9" s="10">
        <v>140</v>
      </c>
      <c r="K9" s="16">
        <v>257.74</v>
      </c>
      <c r="L9" s="19"/>
      <c r="M9" s="13">
        <f>C9-H9-I9+L9-K9-J9</f>
        <v>355.66000000000008</v>
      </c>
      <c r="N9" s="14">
        <f t="shared" si="0"/>
        <v>3452.26</v>
      </c>
      <c r="O9" s="30" t="s">
        <v>47</v>
      </c>
      <c r="P9" s="33">
        <f t="shared" si="1"/>
        <v>35.56600000000001</v>
      </c>
      <c r="Q9" s="33">
        <f t="shared" si="2"/>
        <v>38.411280000000012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3354.4</v>
      </c>
      <c r="I10" s="10">
        <v>0</v>
      </c>
      <c r="J10" s="10">
        <v>0</v>
      </c>
      <c r="K10" s="20"/>
      <c r="L10" s="19"/>
      <c r="M10" s="13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3354.2</v>
      </c>
      <c r="I11" s="10">
        <v>75</v>
      </c>
      <c r="J11" s="10">
        <v>105</v>
      </c>
      <c r="K11" s="11"/>
      <c r="L11" s="12"/>
      <c r="M11" s="13">
        <f>C11-H11-I11+L11-K11-J11</f>
        <v>3465.8</v>
      </c>
      <c r="N11" s="14">
        <f t="shared" si="0"/>
        <v>6820</v>
      </c>
      <c r="O11" s="30" t="s">
        <v>47</v>
      </c>
      <c r="P11" s="33">
        <f t="shared" si="1"/>
        <v>346.58000000000004</v>
      </c>
      <c r="Q11" s="33">
        <f t="shared" si="2"/>
        <v>374.30640000000005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3354.4</v>
      </c>
      <c r="I12" s="10">
        <v>75</v>
      </c>
      <c r="J12" s="10">
        <v>35</v>
      </c>
      <c r="K12" s="21"/>
      <c r="L12" s="12"/>
      <c r="M12" s="13">
        <f>C12-H12-I12+L12-K12-J12</f>
        <v>1535.6</v>
      </c>
      <c r="N12" s="14">
        <f t="shared" si="0"/>
        <v>4890</v>
      </c>
      <c r="O12" s="30" t="s">
        <v>47</v>
      </c>
      <c r="P12" s="33">
        <f t="shared" si="1"/>
        <v>153.56</v>
      </c>
      <c r="Q12" s="33">
        <f t="shared" si="2"/>
        <v>165.84480000000002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3505.8</v>
      </c>
      <c r="I13" s="10">
        <v>150</v>
      </c>
      <c r="J13" s="10">
        <v>70</v>
      </c>
      <c r="K13" s="21"/>
      <c r="L13" s="12">
        <v>500</v>
      </c>
      <c r="M13" s="13">
        <f>C13-H13-I13+L13-K13-J13</f>
        <v>274.19999999999982</v>
      </c>
      <c r="N13" s="14">
        <f t="shared" si="0"/>
        <v>3780</v>
      </c>
      <c r="O13" s="30" t="s">
        <v>47</v>
      </c>
      <c r="P13" s="33">
        <f t="shared" si="1"/>
        <v>27.419999999999984</v>
      </c>
      <c r="Q13" s="33">
        <f t="shared" si="2"/>
        <v>29.613599999999984</v>
      </c>
    </row>
    <row r="14" spans="1:17" x14ac:dyDescent="0.25">
      <c r="A14" s="36">
        <v>149</v>
      </c>
      <c r="B14" s="6" t="s">
        <v>23</v>
      </c>
      <c r="C14" s="7">
        <v>3500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2956.2</v>
      </c>
      <c r="I14" s="10">
        <v>75</v>
      </c>
      <c r="J14" s="10">
        <v>175</v>
      </c>
      <c r="K14" s="21">
        <v>293.92</v>
      </c>
      <c r="L14" s="12"/>
      <c r="M14" s="69">
        <f>C14-H14-I14+L14-K14-J14+0.12</f>
        <v>1.659783421814609E-13</v>
      </c>
      <c r="N14" s="14">
        <f t="shared" si="0"/>
        <v>2956.2</v>
      </c>
      <c r="O14" s="36" t="s">
        <v>47</v>
      </c>
      <c r="P14" s="33">
        <f t="shared" si="1"/>
        <v>1.659783421814609E-14</v>
      </c>
      <c r="Q14" s="33">
        <f t="shared" si="2"/>
        <v>1.7925660955597778E-14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>
        <v>0</v>
      </c>
      <c r="J15" s="10">
        <v>0</v>
      </c>
      <c r="K15" s="11"/>
      <c r="L15" s="12"/>
      <c r="M15" s="13">
        <f t="shared" si="6"/>
        <v>645.59999999999991</v>
      </c>
      <c r="N15" s="14">
        <f t="shared" si="0"/>
        <v>4000</v>
      </c>
      <c r="O15" s="30" t="s">
        <v>47</v>
      </c>
      <c r="P15" s="33">
        <f t="shared" si="1"/>
        <v>64.559999999999988</v>
      </c>
      <c r="Q15" s="33">
        <f t="shared" si="2"/>
        <v>69.724799999999988</v>
      </c>
    </row>
    <row r="16" spans="1:17" x14ac:dyDescent="0.25">
      <c r="A16" s="5">
        <v>151</v>
      </c>
      <c r="B16" s="6" t="s">
        <v>25</v>
      </c>
      <c r="C16" s="7">
        <v>3500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3275</v>
      </c>
      <c r="I16" s="10">
        <v>225</v>
      </c>
      <c r="J16" s="10">
        <v>0</v>
      </c>
      <c r="K16" s="21"/>
      <c r="L16" s="12"/>
      <c r="M16" s="69">
        <f>C16-H16-I16+L16-K16-J16</f>
        <v>0</v>
      </c>
      <c r="N16" s="14">
        <f t="shared" si="0"/>
        <v>3275</v>
      </c>
      <c r="O16" s="29" t="s">
        <v>47</v>
      </c>
      <c r="P16" s="33">
        <f t="shared" si="1"/>
        <v>0</v>
      </c>
      <c r="Q16" s="33">
        <f t="shared" si="2"/>
        <v>0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3120.4</v>
      </c>
      <c r="I17" s="10">
        <v>0</v>
      </c>
      <c r="J17" s="10">
        <v>0</v>
      </c>
      <c r="K17" s="21">
        <v>293.92</v>
      </c>
      <c r="L17" s="19"/>
      <c r="M17" s="13">
        <f t="shared" si="6"/>
        <v>585.67999999999984</v>
      </c>
      <c r="N17" s="14">
        <f t="shared" si="0"/>
        <v>3706.08</v>
      </c>
      <c r="O17" s="29" t="s">
        <v>47</v>
      </c>
      <c r="P17" s="33">
        <f t="shared" si="1"/>
        <v>58.567999999999984</v>
      </c>
      <c r="Q17" s="33">
        <f t="shared" si="2"/>
        <v>63.253439999999983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3009.6</v>
      </c>
      <c r="I18" s="10">
        <v>300</v>
      </c>
      <c r="J18" s="10">
        <v>105</v>
      </c>
      <c r="K18" s="21">
        <v>533.1</v>
      </c>
      <c r="L18" s="12"/>
      <c r="M18" s="13">
        <f t="shared" si="6"/>
        <v>52.300000000000068</v>
      </c>
      <c r="N18" s="14">
        <f t="shared" si="0"/>
        <v>3061.9</v>
      </c>
      <c r="O18" s="29" t="s">
        <v>47</v>
      </c>
      <c r="P18" s="33">
        <f t="shared" si="1"/>
        <v>5.2300000000000075</v>
      </c>
      <c r="Q18" s="33">
        <f t="shared" si="2"/>
        <v>5.6484000000000085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2528</v>
      </c>
      <c r="I19" s="10">
        <v>0</v>
      </c>
      <c r="J19" s="10">
        <v>0</v>
      </c>
      <c r="K19" s="16">
        <v>908.03</v>
      </c>
      <c r="L19" s="12">
        <v>1428.57</v>
      </c>
      <c r="M19" s="13">
        <f t="shared" si="6"/>
        <v>7992.54</v>
      </c>
      <c r="N19" s="14">
        <f t="shared" si="0"/>
        <v>10520.54</v>
      </c>
      <c r="O19" s="29" t="s">
        <v>50</v>
      </c>
      <c r="P19" s="33">
        <f t="shared" si="1"/>
        <v>799.25400000000002</v>
      </c>
      <c r="Q19" s="33">
        <f t="shared" si="2"/>
        <v>863.19432000000006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2879</v>
      </c>
      <c r="I20" s="10">
        <v>300</v>
      </c>
      <c r="J20" s="10">
        <v>140</v>
      </c>
      <c r="K20" s="21">
        <v>1337.14</v>
      </c>
      <c r="L20" s="19"/>
      <c r="M20" s="13">
        <f t="shared" si="6"/>
        <v>3343.8599999999997</v>
      </c>
      <c r="N20" s="14">
        <f t="shared" si="0"/>
        <v>6222.86</v>
      </c>
      <c r="O20" s="29" t="s">
        <v>47</v>
      </c>
      <c r="P20" s="33">
        <f t="shared" si="1"/>
        <v>334.38599999999997</v>
      </c>
      <c r="Q20" s="33">
        <f t="shared" si="2"/>
        <v>361.13687999999996</v>
      </c>
    </row>
    <row r="21" spans="1:17" s="55" customFormat="1" x14ac:dyDescent="0.25">
      <c r="A21" s="5">
        <v>199</v>
      </c>
      <c r="B21" s="6" t="s">
        <v>31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3505.8</v>
      </c>
      <c r="I21" s="10">
        <v>0</v>
      </c>
      <c r="J21" s="10">
        <v>0</v>
      </c>
      <c r="K21" s="16">
        <v>500</v>
      </c>
      <c r="L21" s="12">
        <v>571.42999999999995</v>
      </c>
      <c r="M21" s="13">
        <f t="shared" si="6"/>
        <v>565.62999999999965</v>
      </c>
      <c r="N21" s="14">
        <f t="shared" si="0"/>
        <v>4071.43</v>
      </c>
      <c r="O21" s="29" t="s">
        <v>47</v>
      </c>
      <c r="P21" s="33">
        <f t="shared" si="1"/>
        <v>56.562999999999967</v>
      </c>
      <c r="Q21" s="33">
        <f t="shared" si="2"/>
        <v>61.088039999999971</v>
      </c>
    </row>
    <row r="22" spans="1:17" s="55" customFormat="1" ht="13.5" customHeight="1" x14ac:dyDescent="0.25">
      <c r="A22" s="5">
        <v>204</v>
      </c>
      <c r="B22" s="6" t="s">
        <v>33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3354.2</v>
      </c>
      <c r="I22" s="10">
        <v>75</v>
      </c>
      <c r="J22" s="10">
        <v>105</v>
      </c>
      <c r="K22" s="11"/>
      <c r="L22" s="19"/>
      <c r="M22" s="13">
        <f t="shared" si="6"/>
        <v>465.80000000000018</v>
      </c>
      <c r="N22" s="14">
        <f t="shared" si="0"/>
        <v>3820</v>
      </c>
      <c r="O22" s="29" t="s">
        <v>47</v>
      </c>
      <c r="P22" s="33">
        <f t="shared" si="1"/>
        <v>46.58000000000002</v>
      </c>
      <c r="Q22" s="33">
        <f t="shared" si="2"/>
        <v>50.306400000000025</v>
      </c>
    </row>
    <row r="23" spans="1:17" s="55" customFormat="1" x14ac:dyDescent="0.25">
      <c r="A23" s="5">
        <v>213</v>
      </c>
      <c r="B23" s="6" t="s">
        <v>34</v>
      </c>
      <c r="C23" s="7">
        <v>4000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2847.8</v>
      </c>
      <c r="I23" s="10">
        <v>0</v>
      </c>
      <c r="J23" s="10">
        <v>0</v>
      </c>
      <c r="K23" s="16">
        <v>506.38</v>
      </c>
      <c r="L23" s="19"/>
      <c r="M23" s="13">
        <f t="shared" si="6"/>
        <v>645.81999999999982</v>
      </c>
      <c r="N23" s="14">
        <f t="shared" si="0"/>
        <v>3493.62</v>
      </c>
      <c r="O23" s="29" t="s">
        <v>50</v>
      </c>
      <c r="P23" s="33">
        <f t="shared" si="1"/>
        <v>64.581999999999979</v>
      </c>
      <c r="Q23" s="33">
        <f t="shared" si="2"/>
        <v>69.748559999999983</v>
      </c>
    </row>
    <row r="24" spans="1:17" s="55" customFormat="1" x14ac:dyDescent="0.25">
      <c r="A24" s="5">
        <v>215</v>
      </c>
      <c r="B24" s="6" t="s">
        <v>35</v>
      </c>
      <c r="C24" s="7">
        <v>5000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3354.4</v>
      </c>
      <c r="I24" s="10">
        <v>225</v>
      </c>
      <c r="J24" s="10">
        <v>70</v>
      </c>
      <c r="K24" s="21"/>
      <c r="L24" s="19"/>
      <c r="M24" s="13">
        <f t="shared" si="6"/>
        <v>1350.6</v>
      </c>
      <c r="N24" s="14">
        <f t="shared" si="0"/>
        <v>4705</v>
      </c>
      <c r="O24" s="29" t="s">
        <v>47</v>
      </c>
      <c r="P24" s="33">
        <f t="shared" si="1"/>
        <v>135.06</v>
      </c>
      <c r="Q24" s="33">
        <f t="shared" si="2"/>
        <v>145.8648</v>
      </c>
    </row>
    <row r="25" spans="1:17" s="55" customFormat="1" x14ac:dyDescent="0.25">
      <c r="A25" s="5">
        <v>218</v>
      </c>
      <c r="B25" s="6" t="s">
        <v>36</v>
      </c>
      <c r="C25" s="7">
        <v>3500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7">
        <v>3354.4</v>
      </c>
      <c r="I25" s="10">
        <v>0</v>
      </c>
      <c r="J25" s="10">
        <v>0</v>
      </c>
      <c r="K25" s="21"/>
      <c r="L25" s="12"/>
      <c r="M25" s="13">
        <f t="shared" si="6"/>
        <v>145.59999999999991</v>
      </c>
      <c r="N25" s="14">
        <f t="shared" si="0"/>
        <v>3500</v>
      </c>
      <c r="O25" s="29" t="s">
        <v>49</v>
      </c>
      <c r="P25" s="33">
        <f t="shared" si="1"/>
        <v>14.559999999999992</v>
      </c>
      <c r="Q25" s="33">
        <f t="shared" si="2"/>
        <v>15.724799999999991</v>
      </c>
    </row>
    <row r="26" spans="1:17" s="55" customFormat="1" x14ac:dyDescent="0.25">
      <c r="A26" s="36">
        <v>220</v>
      </c>
      <c r="B26" s="6" t="s">
        <v>37</v>
      </c>
      <c r="C26" s="7">
        <v>4000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8">
        <v>3354.4</v>
      </c>
      <c r="I26" s="10">
        <v>300</v>
      </c>
      <c r="J26" s="10">
        <v>140</v>
      </c>
      <c r="K26" s="21"/>
      <c r="L26" s="12"/>
      <c r="M26" s="13">
        <f t="shared" si="6"/>
        <v>205.59999999999991</v>
      </c>
      <c r="N26" s="14">
        <f t="shared" si="0"/>
        <v>3560</v>
      </c>
      <c r="O26" s="36" t="s">
        <v>47</v>
      </c>
      <c r="P26" s="33">
        <f t="shared" si="1"/>
        <v>20.559999999999992</v>
      </c>
      <c r="Q26" s="33">
        <f t="shared" si="2"/>
        <v>22.204799999999992</v>
      </c>
    </row>
    <row r="27" spans="1:17" s="55" customFormat="1" x14ac:dyDescent="0.25">
      <c r="A27" s="5">
        <v>221</v>
      </c>
      <c r="B27" s="6" t="s">
        <v>38</v>
      </c>
      <c r="C27" s="7">
        <v>5000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3354.2</v>
      </c>
      <c r="I27" s="10">
        <v>300</v>
      </c>
      <c r="J27" s="10">
        <v>0</v>
      </c>
      <c r="K27" s="21"/>
      <c r="L27" s="12"/>
      <c r="M27" s="13">
        <f t="shared" si="6"/>
        <v>1345.8000000000002</v>
      </c>
      <c r="N27" s="14">
        <f t="shared" si="0"/>
        <v>4700</v>
      </c>
      <c r="O27" s="29" t="s">
        <v>47</v>
      </c>
      <c r="P27" s="33">
        <f t="shared" si="1"/>
        <v>134.58000000000001</v>
      </c>
      <c r="Q27" s="33">
        <f t="shared" si="2"/>
        <v>145.34640000000002</v>
      </c>
    </row>
    <row r="28" spans="1:17" s="55" customFormat="1" x14ac:dyDescent="0.25">
      <c r="A28" s="5">
        <v>222</v>
      </c>
      <c r="B28" s="6" t="s">
        <v>39</v>
      </c>
      <c r="C28" s="7">
        <v>8000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3354.4</v>
      </c>
      <c r="I28" s="10">
        <v>375</v>
      </c>
      <c r="J28" s="10">
        <v>210</v>
      </c>
      <c r="K28" s="21"/>
      <c r="L28" s="19"/>
      <c r="M28" s="13">
        <f t="shared" si="6"/>
        <v>4060.6000000000004</v>
      </c>
      <c r="N28" s="14">
        <f t="shared" si="0"/>
        <v>7415</v>
      </c>
      <c r="O28" s="29" t="s">
        <v>47</v>
      </c>
      <c r="P28" s="33">
        <f t="shared" si="1"/>
        <v>406.06000000000006</v>
      </c>
      <c r="Q28" s="33">
        <f t="shared" si="2"/>
        <v>438.54480000000007</v>
      </c>
    </row>
    <row r="29" spans="1:17" s="55" customFormat="1" x14ac:dyDescent="0.25">
      <c r="A29" s="5">
        <v>226</v>
      </c>
      <c r="B29" s="6" t="s">
        <v>40</v>
      </c>
      <c r="C29" s="7">
        <v>7500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3354.2</v>
      </c>
      <c r="I29" s="10">
        <v>300</v>
      </c>
      <c r="J29" s="10">
        <v>210</v>
      </c>
      <c r="K29" s="21"/>
      <c r="L29" s="12"/>
      <c r="M29" s="13">
        <f t="shared" si="6"/>
        <v>3635.8</v>
      </c>
      <c r="N29" s="14">
        <f t="shared" si="0"/>
        <v>6990</v>
      </c>
      <c r="O29" s="29" t="s">
        <v>47</v>
      </c>
      <c r="P29" s="33">
        <f t="shared" si="1"/>
        <v>363.58000000000004</v>
      </c>
      <c r="Q29" s="33">
        <f t="shared" si="2"/>
        <v>392.66640000000007</v>
      </c>
    </row>
    <row r="30" spans="1:17" s="55" customFormat="1" x14ac:dyDescent="0.25">
      <c r="A30" s="5">
        <v>227</v>
      </c>
      <c r="B30" s="6" t="s">
        <v>41</v>
      </c>
      <c r="C30" s="7">
        <v>6000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3120.2</v>
      </c>
      <c r="I30" s="10">
        <v>300</v>
      </c>
      <c r="J30" s="10">
        <v>140</v>
      </c>
      <c r="K30" s="21">
        <v>293.92</v>
      </c>
      <c r="L30" s="12"/>
      <c r="M30" s="13">
        <f t="shared" si="6"/>
        <v>2145.88</v>
      </c>
      <c r="N30" s="14">
        <f t="shared" si="0"/>
        <v>5266.08</v>
      </c>
      <c r="O30" s="29" t="s">
        <v>47</v>
      </c>
      <c r="P30" s="33">
        <f t="shared" si="1"/>
        <v>214.58800000000002</v>
      </c>
      <c r="Q30" s="33">
        <f t="shared" si="2"/>
        <v>231.75504000000004</v>
      </c>
    </row>
    <row r="31" spans="1:17" s="55" customFormat="1" x14ac:dyDescent="0.25">
      <c r="A31" s="5">
        <v>233</v>
      </c>
      <c r="B31" s="6" t="s">
        <v>42</v>
      </c>
      <c r="C31" s="7">
        <v>6250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3432.2</v>
      </c>
      <c r="I31" s="10">
        <v>300</v>
      </c>
      <c r="J31" s="10">
        <v>70</v>
      </c>
      <c r="K31" s="21"/>
      <c r="L31" s="12">
        <v>446.43</v>
      </c>
      <c r="M31" s="13">
        <f t="shared" si="6"/>
        <v>2894.23</v>
      </c>
      <c r="N31" s="14">
        <f t="shared" si="0"/>
        <v>6326.43</v>
      </c>
      <c r="O31" s="31" t="s">
        <v>47</v>
      </c>
      <c r="P31" s="33">
        <f t="shared" si="1"/>
        <v>289.423</v>
      </c>
      <c r="Q31" s="33">
        <f t="shared" si="2"/>
        <v>312.57684</v>
      </c>
    </row>
    <row r="32" spans="1:17" s="55" customFormat="1" x14ac:dyDescent="0.25">
      <c r="A32" s="5">
        <v>237</v>
      </c>
      <c r="B32" s="6" t="s">
        <v>43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3354.2</v>
      </c>
      <c r="I32" s="10">
        <v>75</v>
      </c>
      <c r="J32" s="10">
        <v>105</v>
      </c>
      <c r="K32" s="21"/>
      <c r="L32" s="19"/>
      <c r="M32" s="13">
        <f>C32-H32-I32+L32-K32-J32</f>
        <v>1465.8000000000002</v>
      </c>
      <c r="N32" s="14">
        <f>H32+M32</f>
        <v>4820</v>
      </c>
      <c r="O32" s="29" t="s">
        <v>47</v>
      </c>
      <c r="P32" s="33">
        <f>+M32*0.1</f>
        <v>146.58000000000001</v>
      </c>
      <c r="Q32" s="33">
        <f t="shared" si="2"/>
        <v>158.30640000000002</v>
      </c>
    </row>
    <row r="33" spans="1:17" s="55" customFormat="1" x14ac:dyDescent="0.25">
      <c r="A33" s="5">
        <v>244</v>
      </c>
      <c r="B33" s="6" t="s">
        <v>44</v>
      </c>
      <c r="C33" s="7">
        <v>5000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3354.2</v>
      </c>
      <c r="I33" s="10">
        <v>0</v>
      </c>
      <c r="J33" s="10">
        <v>70</v>
      </c>
      <c r="K33" s="21"/>
      <c r="L33" s="12"/>
      <c r="M33" s="13">
        <f>C33-H33-I33+L33-K33-J33</f>
        <v>1575.8000000000002</v>
      </c>
      <c r="N33" s="14">
        <f t="shared" si="0"/>
        <v>4930</v>
      </c>
      <c r="O33" s="29" t="s">
        <v>47</v>
      </c>
      <c r="P33" s="33">
        <f t="shared" si="1"/>
        <v>157.58000000000004</v>
      </c>
      <c r="Q33" s="33">
        <f t="shared" si="2"/>
        <v>170.18640000000005</v>
      </c>
    </row>
    <row r="34" spans="1:17" s="55" customFormat="1" x14ac:dyDescent="0.25">
      <c r="A34" s="5">
        <v>245</v>
      </c>
      <c r="B34" s="6" t="s">
        <v>45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3354.2</v>
      </c>
      <c r="I34" s="10">
        <v>75</v>
      </c>
      <c r="J34" s="10">
        <v>0</v>
      </c>
      <c r="K34" s="21"/>
      <c r="L34" s="19"/>
      <c r="M34" s="13">
        <f t="shared" si="6"/>
        <v>1570.8000000000002</v>
      </c>
      <c r="N34" s="14">
        <f t="shared" si="0"/>
        <v>4925</v>
      </c>
      <c r="O34" s="34">
        <v>2</v>
      </c>
      <c r="P34" s="33">
        <f t="shared" si="1"/>
        <v>157.08000000000004</v>
      </c>
      <c r="Q34" s="33">
        <f t="shared" si="2"/>
        <v>169.64640000000006</v>
      </c>
    </row>
    <row r="35" spans="1:17" s="55" customFormat="1" x14ac:dyDescent="0.25">
      <c r="A35" s="5">
        <v>252</v>
      </c>
      <c r="B35" s="6" t="s">
        <v>53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3354.4</v>
      </c>
      <c r="I35" s="10">
        <v>300</v>
      </c>
      <c r="J35" s="10">
        <v>105</v>
      </c>
      <c r="K35" s="21"/>
      <c r="L35" s="19"/>
      <c r="M35" s="13">
        <f t="shared" si="6"/>
        <v>240.59999999999991</v>
      </c>
      <c r="N35" s="14">
        <f t="shared" si="0"/>
        <v>3595</v>
      </c>
      <c r="O35" s="5" t="s">
        <v>47</v>
      </c>
      <c r="P35" s="33">
        <f t="shared" si="1"/>
        <v>24.059999999999992</v>
      </c>
      <c r="Q35" s="33">
        <f t="shared" si="2"/>
        <v>25.984799999999993</v>
      </c>
    </row>
    <row r="36" spans="1:17" s="55" customFormat="1" x14ac:dyDescent="0.25">
      <c r="A36" s="5">
        <v>260</v>
      </c>
      <c r="B36" s="6" t="s">
        <v>54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3354.2</v>
      </c>
      <c r="I36" s="10">
        <v>0</v>
      </c>
      <c r="J36" s="10">
        <v>0</v>
      </c>
      <c r="K36" s="21"/>
      <c r="L36" s="19"/>
      <c r="M36" s="13">
        <f t="shared" si="6"/>
        <v>1645.8000000000002</v>
      </c>
      <c r="N36" s="14">
        <f t="shared" si="0"/>
        <v>5000</v>
      </c>
      <c r="O36" s="5" t="s">
        <v>47</v>
      </c>
      <c r="P36" s="33">
        <f t="shared" si="1"/>
        <v>164.58000000000004</v>
      </c>
      <c r="Q36" s="33">
        <f t="shared" si="2"/>
        <v>177.74640000000005</v>
      </c>
    </row>
    <row r="37" spans="1:17" s="55" customFormat="1" x14ac:dyDescent="0.25">
      <c r="A37" s="5">
        <v>261</v>
      </c>
      <c r="B37" s="6" t="s">
        <v>55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2371</v>
      </c>
      <c r="I37" s="10">
        <v>225</v>
      </c>
      <c r="J37" s="10">
        <v>35</v>
      </c>
      <c r="K37" s="16">
        <v>913.35</v>
      </c>
      <c r="L37" s="19"/>
      <c r="M37" s="13">
        <f t="shared" si="6"/>
        <v>455.65</v>
      </c>
      <c r="N37" s="14">
        <f t="shared" si="0"/>
        <v>2826.65</v>
      </c>
      <c r="O37" s="5" t="s">
        <v>47</v>
      </c>
      <c r="P37" s="33">
        <f t="shared" si="1"/>
        <v>45.564999999999998</v>
      </c>
      <c r="Q37" s="33">
        <f t="shared" si="2"/>
        <v>49.2102</v>
      </c>
    </row>
    <row r="38" spans="1:17" s="55" customFormat="1" x14ac:dyDescent="0.25">
      <c r="A38" s="5">
        <v>267</v>
      </c>
      <c r="B38" s="6" t="s">
        <v>56</v>
      </c>
      <c r="C38" s="7">
        <v>5000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2973</v>
      </c>
      <c r="I38" s="10">
        <v>300</v>
      </c>
      <c r="J38" s="10">
        <v>70</v>
      </c>
      <c r="K38" s="16">
        <v>427.3</v>
      </c>
      <c r="L38" s="12">
        <v>535.71</v>
      </c>
      <c r="M38" s="13">
        <f t="shared" si="6"/>
        <v>1765.41</v>
      </c>
      <c r="N38" s="14">
        <f t="shared" si="0"/>
        <v>4738.41</v>
      </c>
      <c r="O38" s="5" t="s">
        <v>47</v>
      </c>
      <c r="P38" s="33">
        <f t="shared" si="1"/>
        <v>176.54100000000003</v>
      </c>
      <c r="Q38" s="33">
        <f t="shared" si="2"/>
        <v>190.66428000000005</v>
      </c>
    </row>
    <row r="39" spans="1:17" s="55" customFormat="1" x14ac:dyDescent="0.25">
      <c r="A39" s="5">
        <v>268</v>
      </c>
      <c r="B39" s="6" t="s">
        <v>57</v>
      </c>
      <c r="C39" s="7">
        <v>4000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3354.2</v>
      </c>
      <c r="I39" s="10">
        <v>75</v>
      </c>
      <c r="J39" s="10">
        <v>0</v>
      </c>
      <c r="K39" s="11"/>
      <c r="L39" s="19"/>
      <c r="M39" s="13">
        <f t="shared" si="6"/>
        <v>570.80000000000018</v>
      </c>
      <c r="N39" s="14">
        <f t="shared" si="0"/>
        <v>3925</v>
      </c>
      <c r="O39" s="5" t="s">
        <v>47</v>
      </c>
      <c r="P39" s="33">
        <f t="shared" si="1"/>
        <v>57.08000000000002</v>
      </c>
      <c r="Q39" s="33">
        <f t="shared" si="2"/>
        <v>61.646400000000028</v>
      </c>
    </row>
    <row r="40" spans="1:17" s="55" customFormat="1" x14ac:dyDescent="0.25">
      <c r="A40" s="5">
        <v>269</v>
      </c>
      <c r="B40" s="6" t="s">
        <v>58</v>
      </c>
      <c r="C40" s="7">
        <v>5000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2879</v>
      </c>
      <c r="I40" s="10">
        <v>225</v>
      </c>
      <c r="J40" s="10">
        <v>105</v>
      </c>
      <c r="K40" s="21">
        <v>587.84</v>
      </c>
      <c r="L40" s="19"/>
      <c r="M40" s="13">
        <f t="shared" si="6"/>
        <v>1203.1599999999999</v>
      </c>
      <c r="N40" s="14">
        <f t="shared" si="0"/>
        <v>4082.16</v>
      </c>
      <c r="O40" s="5" t="s">
        <v>47</v>
      </c>
      <c r="P40" s="33">
        <f t="shared" si="1"/>
        <v>120.31599999999999</v>
      </c>
      <c r="Q40" s="33">
        <f t="shared" si="2"/>
        <v>129.94128000000001</v>
      </c>
    </row>
    <row r="41" spans="1:17" s="55" customFormat="1" x14ac:dyDescent="0.25">
      <c r="A41" s="5">
        <v>271</v>
      </c>
      <c r="B41" s="6" t="s">
        <v>59</v>
      </c>
      <c r="C41" s="7">
        <v>3500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3021.2</v>
      </c>
      <c r="I41" s="10">
        <v>150</v>
      </c>
      <c r="J41" s="10">
        <v>35</v>
      </c>
      <c r="K41" s="21">
        <v>293.92</v>
      </c>
      <c r="L41" s="19"/>
      <c r="M41" s="69">
        <f>C41-H41-I41+L41-K41-J41+0.12</f>
        <v>1.659783421814609E-13</v>
      </c>
      <c r="N41" s="14">
        <f t="shared" si="0"/>
        <v>3021.2</v>
      </c>
      <c r="O41" s="5" t="s">
        <v>47</v>
      </c>
      <c r="P41" s="33">
        <f t="shared" si="1"/>
        <v>1.659783421814609E-14</v>
      </c>
      <c r="Q41" s="33">
        <f t="shared" si="2"/>
        <v>1.7925660955597778E-14</v>
      </c>
    </row>
    <row r="42" spans="1:17" s="55" customFormat="1" x14ac:dyDescent="0.25">
      <c r="A42" s="5">
        <v>275</v>
      </c>
      <c r="B42" s="6" t="s">
        <v>60</v>
      </c>
      <c r="C42" s="7">
        <v>3375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3354.2</v>
      </c>
      <c r="I42" s="10">
        <v>0</v>
      </c>
      <c r="J42" s="10">
        <v>0</v>
      </c>
      <c r="K42" s="21"/>
      <c r="L42" s="19"/>
      <c r="M42" s="13">
        <f t="shared" si="6"/>
        <v>20.800000000000182</v>
      </c>
      <c r="N42" s="14">
        <f t="shared" si="0"/>
        <v>3375</v>
      </c>
      <c r="O42" s="5" t="s">
        <v>47</v>
      </c>
      <c r="P42" s="33">
        <f t="shared" si="1"/>
        <v>2.0800000000000183</v>
      </c>
      <c r="Q42" s="33">
        <f t="shared" si="2"/>
        <v>2.2464000000000199</v>
      </c>
    </row>
    <row r="43" spans="1:17" s="55" customFormat="1" x14ac:dyDescent="0.25">
      <c r="A43" s="5">
        <v>276</v>
      </c>
      <c r="B43" s="6" t="s">
        <v>61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3354.2</v>
      </c>
      <c r="I43" s="10">
        <v>300</v>
      </c>
      <c r="J43" s="10">
        <v>70</v>
      </c>
      <c r="K43" s="11"/>
      <c r="L43" s="19"/>
      <c r="M43" s="13">
        <f t="shared" si="6"/>
        <v>1275.8000000000002</v>
      </c>
      <c r="N43" s="14">
        <f t="shared" si="0"/>
        <v>4630</v>
      </c>
      <c r="O43" s="5" t="s">
        <v>47</v>
      </c>
      <c r="P43" s="33">
        <f t="shared" si="1"/>
        <v>127.58000000000003</v>
      </c>
      <c r="Q43" s="33">
        <f t="shared" si="2"/>
        <v>137.78640000000004</v>
      </c>
    </row>
    <row r="44" spans="1:17" s="55" customFormat="1" x14ac:dyDescent="0.25">
      <c r="A44" s="70">
        <v>278</v>
      </c>
      <c r="B44" s="71" t="s">
        <v>62</v>
      </c>
      <c r="C44" s="72">
        <v>5000</v>
      </c>
      <c r="D44" s="72">
        <v>419.88</v>
      </c>
      <c r="E44" s="73">
        <f t="shared" si="3"/>
        <v>2519.2799999999997</v>
      </c>
      <c r="F44" s="73">
        <f t="shared" si="4"/>
        <v>419.88</v>
      </c>
      <c r="G44" s="74">
        <f t="shared" si="5"/>
        <v>2939.16</v>
      </c>
      <c r="H44" s="75">
        <v>8441.6</v>
      </c>
      <c r="I44" s="76">
        <v>0</v>
      </c>
      <c r="J44" s="76">
        <v>0</v>
      </c>
      <c r="K44" s="77"/>
      <c r="L44" s="78"/>
      <c r="M44" s="79"/>
      <c r="N44" s="80">
        <f t="shared" si="0"/>
        <v>8441.6</v>
      </c>
      <c r="O44" s="70" t="s">
        <v>47</v>
      </c>
      <c r="P44" s="82">
        <f t="shared" si="1"/>
        <v>0</v>
      </c>
      <c r="Q44" s="82">
        <f t="shared" si="2"/>
        <v>0</v>
      </c>
    </row>
    <row r="45" spans="1:17" s="55" customFormat="1" x14ac:dyDescent="0.25">
      <c r="A45" s="5">
        <v>279</v>
      </c>
      <c r="B45" s="6" t="s">
        <v>63</v>
      </c>
      <c r="C45" s="7">
        <v>3500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3320</v>
      </c>
      <c r="I45" s="10">
        <v>75</v>
      </c>
      <c r="J45" s="10">
        <v>105</v>
      </c>
      <c r="K45" s="21"/>
      <c r="L45" s="19"/>
      <c r="M45" s="69">
        <f>C45-H45-I45+L45-K45-J45</f>
        <v>0</v>
      </c>
      <c r="N45" s="14">
        <f t="shared" si="0"/>
        <v>3320</v>
      </c>
      <c r="O45" s="5" t="s">
        <v>47</v>
      </c>
      <c r="P45" s="33">
        <f t="shared" si="1"/>
        <v>0</v>
      </c>
      <c r="Q45" s="33">
        <f t="shared" si="2"/>
        <v>0</v>
      </c>
    </row>
    <row r="46" spans="1:17" s="55" customFormat="1" x14ac:dyDescent="0.25">
      <c r="A46" s="5">
        <v>280</v>
      </c>
      <c r="B46" s="6" t="s">
        <v>64</v>
      </c>
      <c r="C46" s="7">
        <v>5000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3354.2</v>
      </c>
      <c r="I46" s="10">
        <v>0</v>
      </c>
      <c r="J46" s="10">
        <v>0</v>
      </c>
      <c r="K46" s="11"/>
      <c r="L46" s="19"/>
      <c r="M46" s="13">
        <f t="shared" si="6"/>
        <v>1645.8000000000002</v>
      </c>
      <c r="N46" s="14">
        <f t="shared" si="0"/>
        <v>5000</v>
      </c>
      <c r="O46" s="5" t="s">
        <v>47</v>
      </c>
      <c r="P46" s="33">
        <f t="shared" si="1"/>
        <v>164.58000000000004</v>
      </c>
      <c r="Q46" s="33">
        <f t="shared" si="2"/>
        <v>177.74640000000005</v>
      </c>
    </row>
    <row r="47" spans="1:17" s="55" customFormat="1" x14ac:dyDescent="0.25">
      <c r="A47" s="5">
        <v>281</v>
      </c>
      <c r="B47" s="6" t="s">
        <v>65</v>
      </c>
      <c r="C47" s="7">
        <v>8750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>
        <v>0</v>
      </c>
      <c r="J47" s="10">
        <v>0</v>
      </c>
      <c r="K47" s="11"/>
      <c r="L47" s="19"/>
      <c r="M47" s="13">
        <f t="shared" si="6"/>
        <v>5395.6</v>
      </c>
      <c r="N47" s="14">
        <f t="shared" si="0"/>
        <v>8750</v>
      </c>
      <c r="O47" s="5" t="s">
        <v>47</v>
      </c>
      <c r="P47" s="33">
        <f t="shared" si="1"/>
        <v>539.56000000000006</v>
      </c>
      <c r="Q47" s="33">
        <f t="shared" si="2"/>
        <v>582.72480000000007</v>
      </c>
    </row>
    <row r="48" spans="1:17" x14ac:dyDescent="0.25">
      <c r="A48" s="5">
        <v>283</v>
      </c>
      <c r="B48" s="6" t="s">
        <v>66</v>
      </c>
      <c r="C48" s="7">
        <v>5000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>
        <v>0</v>
      </c>
      <c r="J48" s="10">
        <v>105</v>
      </c>
      <c r="K48" s="11"/>
      <c r="L48" s="19"/>
      <c r="M48" s="13">
        <f t="shared" si="6"/>
        <v>1540.6</v>
      </c>
      <c r="N48" s="14">
        <f t="shared" si="0"/>
        <v>4895</v>
      </c>
      <c r="O48" s="5" t="s">
        <v>47</v>
      </c>
      <c r="P48" s="33">
        <f t="shared" si="1"/>
        <v>154.06</v>
      </c>
      <c r="Q48" s="33">
        <f t="shared" si="2"/>
        <v>166.38480000000001</v>
      </c>
    </row>
    <row r="49" spans="1:18" x14ac:dyDescent="0.25">
      <c r="A49" s="5">
        <v>284</v>
      </c>
      <c r="B49" s="6" t="s">
        <v>67</v>
      </c>
      <c r="C49" s="7">
        <v>4000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>
        <v>0</v>
      </c>
      <c r="J49" s="10">
        <v>0</v>
      </c>
      <c r="K49" s="11"/>
      <c r="L49" s="19"/>
      <c r="M49" s="13">
        <f t="shared" si="6"/>
        <v>645.80000000000018</v>
      </c>
      <c r="N49" s="14">
        <f t="shared" si="0"/>
        <v>4000</v>
      </c>
      <c r="O49" s="5" t="s">
        <v>47</v>
      </c>
      <c r="P49" s="33">
        <f t="shared" si="1"/>
        <v>64.580000000000027</v>
      </c>
      <c r="Q49" s="33">
        <f t="shared" si="2"/>
        <v>69.746400000000037</v>
      </c>
    </row>
    <row r="50" spans="1:18" x14ac:dyDescent="0.25">
      <c r="A50" s="5">
        <v>285</v>
      </c>
      <c r="B50" s="6" t="s">
        <v>68</v>
      </c>
      <c r="C50" s="7">
        <v>4000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3354.2</v>
      </c>
      <c r="I50" s="10">
        <v>0</v>
      </c>
      <c r="J50" s="10">
        <v>0</v>
      </c>
      <c r="K50" s="11"/>
      <c r="L50" s="19"/>
      <c r="M50" s="13">
        <f t="shared" si="6"/>
        <v>645.80000000000018</v>
      </c>
      <c r="N50" s="14">
        <f t="shared" si="0"/>
        <v>4000</v>
      </c>
      <c r="O50" s="5" t="s">
        <v>47</v>
      </c>
      <c r="P50" s="33">
        <f t="shared" si="1"/>
        <v>64.580000000000027</v>
      </c>
      <c r="Q50" s="33">
        <f t="shared" si="2"/>
        <v>69.746400000000037</v>
      </c>
    </row>
    <row r="51" spans="1:18" x14ac:dyDescent="0.25">
      <c r="A51" s="5">
        <v>286</v>
      </c>
      <c r="B51" s="6" t="s">
        <v>69</v>
      </c>
      <c r="C51" s="7">
        <v>4000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3354.2</v>
      </c>
      <c r="I51" s="10">
        <v>300</v>
      </c>
      <c r="J51" s="10">
        <v>0</v>
      </c>
      <c r="K51" s="11"/>
      <c r="L51" s="19"/>
      <c r="M51" s="13">
        <f t="shared" si="6"/>
        <v>345.80000000000018</v>
      </c>
      <c r="N51" s="14">
        <f t="shared" si="0"/>
        <v>3700</v>
      </c>
      <c r="O51" s="5" t="s">
        <v>47</v>
      </c>
      <c r="P51" s="33">
        <f t="shared" si="1"/>
        <v>34.58000000000002</v>
      </c>
      <c r="Q51" s="33">
        <f t="shared" si="2"/>
        <v>37.346400000000024</v>
      </c>
    </row>
    <row r="52" spans="1:18" x14ac:dyDescent="0.25">
      <c r="A52" s="5">
        <v>287</v>
      </c>
      <c r="B52" s="6" t="s">
        <v>72</v>
      </c>
      <c r="C52" s="7">
        <v>5000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3354.2</v>
      </c>
      <c r="I52" s="10">
        <v>300</v>
      </c>
      <c r="J52" s="10">
        <v>140</v>
      </c>
      <c r="K52" s="11"/>
      <c r="L52" s="19"/>
      <c r="M52" s="13">
        <f t="shared" si="6"/>
        <v>1205.8000000000002</v>
      </c>
      <c r="N52" s="14">
        <f t="shared" si="0"/>
        <v>4560</v>
      </c>
      <c r="O52" s="5" t="s">
        <v>47</v>
      </c>
      <c r="P52" s="33">
        <f t="shared" si="1"/>
        <v>120.58000000000003</v>
      </c>
      <c r="Q52" s="33">
        <f t="shared" si="2"/>
        <v>130.22640000000004</v>
      </c>
    </row>
    <row r="53" spans="1:18" x14ac:dyDescent="0.25">
      <c r="A53" s="5">
        <v>288</v>
      </c>
      <c r="B53" s="6" t="s">
        <v>73</v>
      </c>
      <c r="C53" s="7">
        <v>3500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3354.2</v>
      </c>
      <c r="I53" s="10">
        <v>0</v>
      </c>
      <c r="J53" s="10">
        <v>0</v>
      </c>
      <c r="K53" s="11"/>
      <c r="L53" s="19">
        <v>2000</v>
      </c>
      <c r="M53" s="13">
        <f t="shared" si="6"/>
        <v>2145.8000000000002</v>
      </c>
      <c r="N53" s="14">
        <f t="shared" si="0"/>
        <v>5500</v>
      </c>
      <c r="O53" s="5" t="s">
        <v>47</v>
      </c>
      <c r="P53" s="33">
        <f t="shared" si="1"/>
        <v>214.58000000000004</v>
      </c>
      <c r="Q53" s="33">
        <f t="shared" si="2"/>
        <v>231.74640000000005</v>
      </c>
    </row>
    <row r="54" spans="1:18" x14ac:dyDescent="0.25">
      <c r="A54" s="5">
        <v>289</v>
      </c>
      <c r="B54" s="6" t="s">
        <v>74</v>
      </c>
      <c r="C54" s="7">
        <v>3500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3354.2</v>
      </c>
      <c r="I54" s="10">
        <v>0</v>
      </c>
      <c r="J54" s="10">
        <v>0</v>
      </c>
      <c r="K54" s="11"/>
      <c r="L54" s="19">
        <v>3000</v>
      </c>
      <c r="M54" s="13">
        <f t="shared" si="6"/>
        <v>3145.8</v>
      </c>
      <c r="N54" s="14">
        <f t="shared" si="0"/>
        <v>6500</v>
      </c>
      <c r="O54" s="5" t="s">
        <v>47</v>
      </c>
      <c r="P54" s="33">
        <f t="shared" si="1"/>
        <v>314.58000000000004</v>
      </c>
      <c r="Q54" s="33">
        <f t="shared" si="2"/>
        <v>339.74640000000005</v>
      </c>
    </row>
    <row r="55" spans="1:18" x14ac:dyDescent="0.25">
      <c r="A55" s="5">
        <v>290</v>
      </c>
      <c r="B55" s="6" t="s">
        <v>75</v>
      </c>
      <c r="C55" s="7">
        <v>6250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3354.2</v>
      </c>
      <c r="I55" s="10">
        <v>0</v>
      </c>
      <c r="J55" s="10">
        <v>0</v>
      </c>
      <c r="K55" s="11"/>
      <c r="L55" s="19"/>
      <c r="M55" s="13">
        <f t="shared" si="6"/>
        <v>2895.8</v>
      </c>
      <c r="N55" s="14">
        <f t="shared" si="0"/>
        <v>6250</v>
      </c>
      <c r="O55" s="5" t="s">
        <v>47</v>
      </c>
      <c r="P55" s="33">
        <f t="shared" si="1"/>
        <v>289.58000000000004</v>
      </c>
      <c r="Q55" s="33">
        <f t="shared" si="2"/>
        <v>312.74640000000005</v>
      </c>
    </row>
    <row r="56" spans="1:18" x14ac:dyDescent="0.25">
      <c r="A56" s="5">
        <v>291</v>
      </c>
      <c r="B56" s="6" t="s">
        <v>78</v>
      </c>
      <c r="C56" s="7">
        <v>4250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3354.2</v>
      </c>
      <c r="I56" s="10">
        <v>0</v>
      </c>
      <c r="J56" s="10">
        <v>70</v>
      </c>
      <c r="K56" s="11"/>
      <c r="L56" s="19"/>
      <c r="M56" s="13">
        <f t="shared" si="6"/>
        <v>825.80000000000018</v>
      </c>
      <c r="N56" s="14">
        <f t="shared" si="0"/>
        <v>4180</v>
      </c>
      <c r="O56" s="5" t="s">
        <v>47</v>
      </c>
      <c r="P56" s="33">
        <f t="shared" si="1"/>
        <v>82.580000000000027</v>
      </c>
      <c r="Q56" s="33">
        <f t="shared" si="2"/>
        <v>89.186400000000035</v>
      </c>
    </row>
    <row r="57" spans="1:18" ht="16.149999999999999" customHeight="1" thickBot="1" x14ac:dyDescent="0.3"/>
    <row r="58" spans="1:18" ht="18" thickBot="1" x14ac:dyDescent="0.35">
      <c r="A58" s="23"/>
      <c r="B58" s="24"/>
      <c r="C58" s="25">
        <f t="shared" ref="C58:N58" si="7">SUM(C4:C57)</f>
        <v>260875</v>
      </c>
      <c r="D58" s="25">
        <f t="shared" si="7"/>
        <v>22253.64</v>
      </c>
      <c r="E58" s="25">
        <f t="shared" si="7"/>
        <v>131002.55999999995</v>
      </c>
      <c r="F58" s="25">
        <f t="shared" si="7"/>
        <v>21833.759999999998</v>
      </c>
      <c r="G58" s="25">
        <f t="shared" si="7"/>
        <v>152836.32000000012</v>
      </c>
      <c r="H58" s="25">
        <f t="shared" si="7"/>
        <v>174551.20000000004</v>
      </c>
      <c r="I58" s="26">
        <f t="shared" si="7"/>
        <v>6375</v>
      </c>
      <c r="J58" s="26">
        <f t="shared" si="7"/>
        <v>2940</v>
      </c>
      <c r="K58" s="26">
        <f t="shared" si="7"/>
        <v>7146.5600000000013</v>
      </c>
      <c r="L58" s="27">
        <f t="shared" si="7"/>
        <v>11696.420000000002</v>
      </c>
      <c r="M58" s="25">
        <f t="shared" si="7"/>
        <v>85000.500000000058</v>
      </c>
      <c r="N58" s="25">
        <f t="shared" si="7"/>
        <v>259551.69999999998</v>
      </c>
      <c r="P58" s="25">
        <f>SUM(P4:P57)</f>
        <v>8500.0499999999993</v>
      </c>
      <c r="Q58" s="25">
        <f>SUM(Q4:Q57)</f>
        <v>9180.0540000000019</v>
      </c>
      <c r="R58" s="55">
        <f>+N58+Q58</f>
        <v>268731.75399999996</v>
      </c>
    </row>
    <row r="59" spans="1:18" x14ac:dyDescent="0.25">
      <c r="H59" s="15"/>
      <c r="M59" s="15"/>
    </row>
    <row r="60" spans="1:18" x14ac:dyDescent="0.25">
      <c r="H60" s="15"/>
      <c r="I60">
        <f>+I58/75</f>
        <v>85</v>
      </c>
      <c r="J60" s="28">
        <f>SUM(J58)/35</f>
        <v>84</v>
      </c>
      <c r="R60" s="55">
        <v>12886.8</v>
      </c>
    </row>
    <row r="61" spans="1:18" x14ac:dyDescent="0.25">
      <c r="F61" s="15"/>
      <c r="H61" s="15">
        <f>H58+M58</f>
        <v>259551.7000000001</v>
      </c>
      <c r="K61" s="15"/>
    </row>
    <row r="62" spans="1:18" x14ac:dyDescent="0.25">
      <c r="H62" s="15">
        <f>'[1]Nom 9'!$H$53</f>
        <v>131178.05999999994</v>
      </c>
      <c r="I62" s="40"/>
      <c r="J62" s="15"/>
    </row>
    <row r="63" spans="1:18" x14ac:dyDescent="0.25">
      <c r="H63" s="15">
        <f>[2]Rino!$H$8</f>
        <v>75398.810000000012</v>
      </c>
    </row>
    <row r="64" spans="1:18" x14ac:dyDescent="0.25">
      <c r="H64" s="15">
        <f>H62+H63</f>
        <v>206576.86999999994</v>
      </c>
    </row>
  </sheetData>
  <autoFilter ref="A3:Q56" xr:uid="{00000000-0009-0000-0000-00000A000000}"/>
  <mergeCells count="2">
    <mergeCell ref="A1:N1"/>
    <mergeCell ref="A2:N2"/>
  </mergeCells>
  <pageMargins left="0.25" right="0.25" top="0.75" bottom="0.75" header="0.3" footer="0.3"/>
  <pageSetup scale="52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pageSetUpPr fitToPage="1"/>
  </sheetPr>
  <dimension ref="A1:R63"/>
  <sheetViews>
    <sheetView showGridLines="0" topLeftCell="A28" zoomScaleNormal="100" workbookViewId="0">
      <selection activeCell="K64" sqref="K64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87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5" si="0">H4+M4</f>
        <v>0</v>
      </c>
      <c r="O4" s="81" t="s">
        <v>48</v>
      </c>
      <c r="P4" s="82">
        <f t="shared" ref="P4:P55" si="1">+M4*0.1</f>
        <v>0</v>
      </c>
      <c r="Q4" s="82">
        <f t="shared" ref="Q4:Q55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5" si="3">D5*6</f>
        <v>2519.2799999999997</v>
      </c>
      <c r="F5" s="8">
        <f t="shared" ref="F5:F55" si="4">$D$4</f>
        <v>419.88</v>
      </c>
      <c r="G5" s="9">
        <f t="shared" ref="G5:G55" si="5">E5+F5</f>
        <v>2939.16</v>
      </c>
      <c r="H5" s="37">
        <v>3354.4</v>
      </c>
      <c r="I5" s="10">
        <v>375</v>
      </c>
      <c r="J5" s="10">
        <v>0</v>
      </c>
      <c r="K5" s="11"/>
      <c r="L5" s="12"/>
      <c r="M5" s="13">
        <f>C5-H5-I5+L5-K5-J5</f>
        <v>270.59999999999991</v>
      </c>
      <c r="N5" s="14">
        <f t="shared" si="0"/>
        <v>3625</v>
      </c>
      <c r="O5" s="29" t="s">
        <v>47</v>
      </c>
      <c r="P5" s="33">
        <f t="shared" si="1"/>
        <v>27.059999999999992</v>
      </c>
      <c r="Q5" s="33">
        <f t="shared" si="2"/>
        <v>29.224799999999991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3354.4</v>
      </c>
      <c r="I6" s="18">
        <v>0</v>
      </c>
      <c r="J6" s="18">
        <v>0</v>
      </c>
      <c r="K6" s="11">
        <v>1800</v>
      </c>
      <c r="L6" s="12"/>
      <c r="M6" s="13">
        <f t="shared" ref="M6:M55" si="6">C6-H6-I6+L6-K6-J6</f>
        <v>9845.6</v>
      </c>
      <c r="N6" s="14">
        <f t="shared" si="0"/>
        <v>13200</v>
      </c>
      <c r="O6" s="30" t="s">
        <v>47</v>
      </c>
      <c r="P6" s="33">
        <f t="shared" si="1"/>
        <v>984.56000000000006</v>
      </c>
      <c r="Q6" s="33">
        <f t="shared" si="2"/>
        <v>1063.3248000000001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3354.2</v>
      </c>
      <c r="I7" s="10">
        <v>150</v>
      </c>
      <c r="J7" s="10">
        <v>35</v>
      </c>
      <c r="K7" s="21"/>
      <c r="L7" s="12"/>
      <c r="M7" s="13">
        <f t="shared" si="6"/>
        <v>460.80000000000018</v>
      </c>
      <c r="N7" s="14">
        <f t="shared" si="0"/>
        <v>3815</v>
      </c>
      <c r="O7" s="36" t="s">
        <v>47</v>
      </c>
      <c r="P7" s="33">
        <f t="shared" si="1"/>
        <v>46.08000000000002</v>
      </c>
      <c r="Q7" s="33">
        <f t="shared" si="2"/>
        <v>49.766400000000026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3469.8</v>
      </c>
      <c r="I8" s="10">
        <v>375</v>
      </c>
      <c r="J8" s="10">
        <v>35</v>
      </c>
      <c r="K8" s="11">
        <v>300</v>
      </c>
      <c r="L8" s="12">
        <v>482.14</v>
      </c>
      <c r="M8" s="13">
        <f t="shared" si="6"/>
        <v>802.33999999999969</v>
      </c>
      <c r="N8" s="14">
        <f t="shared" si="0"/>
        <v>4272.1399999999994</v>
      </c>
      <c r="O8" s="30" t="s">
        <v>47</v>
      </c>
      <c r="P8" s="33">
        <f t="shared" si="1"/>
        <v>80.23399999999998</v>
      </c>
      <c r="Q8" s="33">
        <f t="shared" si="2"/>
        <v>86.652719999999988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2212.4</v>
      </c>
      <c r="I9" s="10">
        <v>225</v>
      </c>
      <c r="J9" s="10">
        <v>105</v>
      </c>
      <c r="K9" s="16">
        <v>1457.74</v>
      </c>
      <c r="L9" s="19"/>
      <c r="M9" s="83">
        <f>C9-H9-I9+L9-K9-J9+0.14</f>
        <v>-1.000310945187266E-13</v>
      </c>
      <c r="N9" s="14">
        <f t="shared" si="0"/>
        <v>2212.4</v>
      </c>
      <c r="O9" s="30" t="s">
        <v>47</v>
      </c>
      <c r="P9" s="33">
        <f t="shared" si="1"/>
        <v>-1.0003109451872661E-14</v>
      </c>
      <c r="Q9" s="33">
        <f t="shared" si="2"/>
        <v>-1.0803358208022476E-14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3354.2</v>
      </c>
      <c r="I10" s="10">
        <v>0</v>
      </c>
      <c r="J10" s="10">
        <v>0</v>
      </c>
      <c r="K10" s="20"/>
      <c r="L10" s="19"/>
      <c r="M10" s="13">
        <f t="shared" si="6"/>
        <v>645.80000000000018</v>
      </c>
      <c r="N10" s="14">
        <f t="shared" si="0"/>
        <v>4000</v>
      </c>
      <c r="O10" s="30" t="s">
        <v>49</v>
      </c>
      <c r="P10" s="33">
        <f t="shared" si="1"/>
        <v>64.580000000000027</v>
      </c>
      <c r="Q10" s="33">
        <f t="shared" si="2"/>
        <v>69.746400000000037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75</v>
      </c>
      <c r="J11" s="10">
        <v>105</v>
      </c>
      <c r="K11" s="11">
        <v>600</v>
      </c>
      <c r="L11" s="12"/>
      <c r="M11" s="13">
        <f>C11-H11-I11+L11-K11-J11</f>
        <v>2865.6</v>
      </c>
      <c r="N11" s="14">
        <f t="shared" si="0"/>
        <v>6220</v>
      </c>
      <c r="O11" s="30" t="s">
        <v>47</v>
      </c>
      <c r="P11" s="33">
        <f t="shared" si="1"/>
        <v>286.56</v>
      </c>
      <c r="Q11" s="33">
        <f t="shared" si="2"/>
        <v>309.48480000000001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3354.2</v>
      </c>
      <c r="I12" s="10">
        <v>300</v>
      </c>
      <c r="J12" s="10">
        <v>70</v>
      </c>
      <c r="K12" s="11">
        <v>600</v>
      </c>
      <c r="L12" s="12"/>
      <c r="M12" s="13">
        <f>C12-H12-I12+L12-K12-J12</f>
        <v>675.80000000000018</v>
      </c>
      <c r="N12" s="14">
        <f t="shared" si="0"/>
        <v>4030</v>
      </c>
      <c r="O12" s="30" t="s">
        <v>47</v>
      </c>
      <c r="P12" s="33">
        <f t="shared" si="1"/>
        <v>67.580000000000027</v>
      </c>
      <c r="Q12" s="33">
        <f t="shared" si="2"/>
        <v>72.986400000000032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3315</v>
      </c>
      <c r="I13" s="10">
        <v>150</v>
      </c>
      <c r="J13" s="10">
        <v>35</v>
      </c>
      <c r="K13" s="21"/>
      <c r="L13" s="12"/>
      <c r="M13" s="13">
        <f>C13-H13-I13+L13-K13-J13</f>
        <v>0</v>
      </c>
      <c r="N13" s="14">
        <f t="shared" si="0"/>
        <v>3315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3500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3025.2</v>
      </c>
      <c r="I14" s="10">
        <v>375</v>
      </c>
      <c r="J14" s="10">
        <v>140</v>
      </c>
      <c r="K14" s="21">
        <v>209.94</v>
      </c>
      <c r="L14" s="12">
        <v>250</v>
      </c>
      <c r="M14" s="83">
        <f>C14-H14-I14+L14-K14-J14+0.14</f>
        <v>1.8418599978531347E-13</v>
      </c>
      <c r="N14" s="14">
        <f t="shared" si="0"/>
        <v>3025.2</v>
      </c>
      <c r="O14" s="36" t="s">
        <v>47</v>
      </c>
      <c r="P14" s="33">
        <f t="shared" si="1"/>
        <v>1.8418599978531348E-14</v>
      </c>
      <c r="Q14" s="33">
        <f t="shared" si="2"/>
        <v>1.9892087976813858E-14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>
        <v>0</v>
      </c>
      <c r="J15" s="10">
        <v>0</v>
      </c>
      <c r="K15" s="11">
        <v>300</v>
      </c>
      <c r="L15" s="12"/>
      <c r="M15" s="13">
        <f t="shared" si="6"/>
        <v>345.59999999999991</v>
      </c>
      <c r="N15" s="14">
        <f t="shared" si="0"/>
        <v>3700</v>
      </c>
      <c r="O15" s="30" t="s">
        <v>47</v>
      </c>
      <c r="P15" s="33">
        <f t="shared" si="1"/>
        <v>34.559999999999995</v>
      </c>
      <c r="Q15" s="33">
        <f t="shared" si="2"/>
        <v>37.324799999999996</v>
      </c>
    </row>
    <row r="16" spans="1:17" x14ac:dyDescent="0.25">
      <c r="A16" s="5">
        <v>151</v>
      </c>
      <c r="B16" s="6" t="s">
        <v>25</v>
      </c>
      <c r="C16" s="7">
        <v>3500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3280</v>
      </c>
      <c r="I16" s="10">
        <v>150</v>
      </c>
      <c r="J16" s="10">
        <v>70</v>
      </c>
      <c r="K16" s="21"/>
      <c r="L16" s="12"/>
      <c r="M16" s="13">
        <f>C16-H16-I16+L16-K16-J16</f>
        <v>0</v>
      </c>
      <c r="N16" s="14">
        <f t="shared" si="0"/>
        <v>3280</v>
      </c>
      <c r="O16" s="29" t="s">
        <v>47</v>
      </c>
      <c r="P16" s="33">
        <f t="shared" si="1"/>
        <v>0</v>
      </c>
      <c r="Q16" s="33">
        <f t="shared" si="2"/>
        <v>0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3354.2</v>
      </c>
      <c r="I17" s="10">
        <v>0</v>
      </c>
      <c r="J17" s="10">
        <v>0</v>
      </c>
      <c r="K17" s="21"/>
      <c r="L17" s="19"/>
      <c r="M17" s="13">
        <f t="shared" si="6"/>
        <v>645.80000000000018</v>
      </c>
      <c r="N17" s="14">
        <f t="shared" si="0"/>
        <v>4000</v>
      </c>
      <c r="O17" s="29" t="s">
        <v>47</v>
      </c>
      <c r="P17" s="33">
        <f t="shared" si="1"/>
        <v>64.580000000000027</v>
      </c>
      <c r="Q17" s="33">
        <f t="shared" si="2"/>
        <v>69.746400000000037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3354.4</v>
      </c>
      <c r="I18" s="10">
        <v>375</v>
      </c>
      <c r="J18" s="10">
        <v>105</v>
      </c>
      <c r="K18" s="21"/>
      <c r="L18" s="12">
        <f>60+10</f>
        <v>70</v>
      </c>
      <c r="M18" s="13">
        <f t="shared" si="6"/>
        <v>235.59999999999991</v>
      </c>
      <c r="N18" s="14">
        <f t="shared" si="0"/>
        <v>3590</v>
      </c>
      <c r="O18" s="29" t="s">
        <v>47</v>
      </c>
      <c r="P18" s="33">
        <f t="shared" si="1"/>
        <v>23.559999999999992</v>
      </c>
      <c r="Q18" s="33">
        <f t="shared" si="2"/>
        <v>25.444799999999994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2376</v>
      </c>
      <c r="I19" s="10">
        <v>0</v>
      </c>
      <c r="J19" s="10">
        <v>0</v>
      </c>
      <c r="K19" s="16">
        <v>908.03</v>
      </c>
      <c r="L19" s="12"/>
      <c r="M19" s="13">
        <f t="shared" si="6"/>
        <v>6715.97</v>
      </c>
      <c r="N19" s="14">
        <f t="shared" si="0"/>
        <v>9091.9700000000012</v>
      </c>
      <c r="O19" s="29" t="s">
        <v>50</v>
      </c>
      <c r="P19" s="33">
        <f t="shared" si="1"/>
        <v>671.59700000000009</v>
      </c>
      <c r="Q19" s="33">
        <f t="shared" si="2"/>
        <v>725.3247600000002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3354.4</v>
      </c>
      <c r="I20" s="10">
        <v>375</v>
      </c>
      <c r="J20" s="10">
        <v>140</v>
      </c>
      <c r="K20" s="11">
        <v>300</v>
      </c>
      <c r="L20" s="19"/>
      <c r="M20" s="13">
        <f t="shared" si="6"/>
        <v>3830.6000000000004</v>
      </c>
      <c r="N20" s="14">
        <f t="shared" si="0"/>
        <v>7185</v>
      </c>
      <c r="O20" s="29" t="s">
        <v>47</v>
      </c>
      <c r="P20" s="33">
        <f t="shared" si="1"/>
        <v>383.06000000000006</v>
      </c>
      <c r="Q20" s="33">
        <f t="shared" si="2"/>
        <v>413.70480000000009</v>
      </c>
    </row>
    <row r="21" spans="1:17" s="55" customFormat="1" x14ac:dyDescent="0.25">
      <c r="A21" s="5">
        <v>199</v>
      </c>
      <c r="B21" s="6" t="s">
        <v>31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2831.6</v>
      </c>
      <c r="I21" s="10">
        <v>0</v>
      </c>
      <c r="J21" s="10">
        <v>0</v>
      </c>
      <c r="K21" s="16">
        <v>1168.56</v>
      </c>
      <c r="L21" s="12"/>
      <c r="M21" s="84">
        <f>C21-H21-I21+L21-K21-J21+0.16</f>
        <v>1.4552248295274239E-13</v>
      </c>
      <c r="N21" s="14">
        <f t="shared" si="0"/>
        <v>2831.6</v>
      </c>
      <c r="O21" s="29" t="s">
        <v>47</v>
      </c>
      <c r="P21" s="33">
        <f t="shared" si="1"/>
        <v>1.4552248295274241E-14</v>
      </c>
      <c r="Q21" s="33">
        <f t="shared" si="2"/>
        <v>1.5716428158896182E-14</v>
      </c>
    </row>
    <row r="22" spans="1:17" s="55" customFormat="1" ht="13.5" customHeight="1" x14ac:dyDescent="0.25">
      <c r="A22" s="5">
        <v>204</v>
      </c>
      <c r="B22" s="6" t="s">
        <v>33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225</v>
      </c>
      <c r="J22" s="10">
        <v>105</v>
      </c>
      <c r="K22" s="11"/>
      <c r="L22" s="19"/>
      <c r="M22" s="13">
        <f t="shared" si="6"/>
        <v>315.59999999999991</v>
      </c>
      <c r="N22" s="14">
        <f t="shared" si="0"/>
        <v>3670</v>
      </c>
      <c r="O22" s="29" t="s">
        <v>47</v>
      </c>
      <c r="P22" s="33">
        <f t="shared" si="1"/>
        <v>31.559999999999992</v>
      </c>
      <c r="Q22" s="33">
        <f t="shared" si="2"/>
        <v>34.084799999999994</v>
      </c>
    </row>
    <row r="23" spans="1:17" s="55" customFormat="1" x14ac:dyDescent="0.25">
      <c r="A23" s="5">
        <v>213</v>
      </c>
      <c r="B23" s="6" t="s">
        <v>34</v>
      </c>
      <c r="C23" s="7">
        <v>4000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2848</v>
      </c>
      <c r="I23" s="10">
        <v>0</v>
      </c>
      <c r="J23" s="10">
        <v>0</v>
      </c>
      <c r="K23" s="16">
        <v>506.38</v>
      </c>
      <c r="L23" s="19"/>
      <c r="M23" s="13">
        <f t="shared" si="6"/>
        <v>645.62</v>
      </c>
      <c r="N23" s="14">
        <f t="shared" si="0"/>
        <v>3493.62</v>
      </c>
      <c r="O23" s="29" t="s">
        <v>50</v>
      </c>
      <c r="P23" s="33">
        <f t="shared" si="1"/>
        <v>64.561999999999998</v>
      </c>
      <c r="Q23" s="33">
        <f t="shared" si="2"/>
        <v>69.726960000000005</v>
      </c>
    </row>
    <row r="24" spans="1:17" s="55" customFormat="1" x14ac:dyDescent="0.25">
      <c r="A24" s="5">
        <v>215</v>
      </c>
      <c r="B24" s="6" t="s">
        <v>35</v>
      </c>
      <c r="C24" s="7">
        <v>5000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3354.2</v>
      </c>
      <c r="I24" s="10">
        <v>150</v>
      </c>
      <c r="J24" s="10">
        <v>105</v>
      </c>
      <c r="K24" s="11">
        <v>600</v>
      </c>
      <c r="L24" s="19"/>
      <c r="M24" s="13">
        <f t="shared" si="6"/>
        <v>790.80000000000018</v>
      </c>
      <c r="N24" s="14">
        <f t="shared" si="0"/>
        <v>4145</v>
      </c>
      <c r="O24" s="29" t="s">
        <v>47</v>
      </c>
      <c r="P24" s="33">
        <f t="shared" si="1"/>
        <v>79.080000000000027</v>
      </c>
      <c r="Q24" s="33">
        <f t="shared" si="2"/>
        <v>85.406400000000033</v>
      </c>
    </row>
    <row r="25" spans="1:17" s="55" customFormat="1" x14ac:dyDescent="0.25">
      <c r="A25" s="5">
        <v>218</v>
      </c>
      <c r="B25" s="6" t="s">
        <v>36</v>
      </c>
      <c r="C25" s="7">
        <v>3500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7">
        <v>3354.2</v>
      </c>
      <c r="I25" s="10">
        <v>0</v>
      </c>
      <c r="J25" s="10">
        <v>0</v>
      </c>
      <c r="K25" s="21"/>
      <c r="L25" s="12"/>
      <c r="M25" s="13">
        <f t="shared" si="6"/>
        <v>145.80000000000018</v>
      </c>
      <c r="N25" s="14">
        <f t="shared" si="0"/>
        <v>3500</v>
      </c>
      <c r="O25" s="29" t="s">
        <v>49</v>
      </c>
      <c r="P25" s="33">
        <f t="shared" si="1"/>
        <v>14.58000000000002</v>
      </c>
      <c r="Q25" s="33">
        <f t="shared" si="2"/>
        <v>15.746400000000023</v>
      </c>
    </row>
    <row r="26" spans="1:17" s="55" customFormat="1" x14ac:dyDescent="0.25">
      <c r="A26" s="36">
        <v>220</v>
      </c>
      <c r="B26" s="6" t="s">
        <v>37</v>
      </c>
      <c r="C26" s="7">
        <v>4000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8">
        <v>3354.2</v>
      </c>
      <c r="I26" s="10">
        <v>375</v>
      </c>
      <c r="J26" s="10">
        <v>140</v>
      </c>
      <c r="K26" s="21"/>
      <c r="L26" s="12"/>
      <c r="M26" s="13">
        <f t="shared" si="6"/>
        <v>130.80000000000018</v>
      </c>
      <c r="N26" s="14">
        <f t="shared" si="0"/>
        <v>3485</v>
      </c>
      <c r="O26" s="36" t="s">
        <v>47</v>
      </c>
      <c r="P26" s="33">
        <f t="shared" si="1"/>
        <v>13.08000000000002</v>
      </c>
      <c r="Q26" s="33">
        <f t="shared" si="2"/>
        <v>14.126400000000022</v>
      </c>
    </row>
    <row r="27" spans="1:17" s="55" customFormat="1" x14ac:dyDescent="0.25">
      <c r="A27" s="5">
        <v>221</v>
      </c>
      <c r="B27" s="6" t="s">
        <v>38</v>
      </c>
      <c r="C27" s="7">
        <v>5000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3354.4</v>
      </c>
      <c r="I27" s="10">
        <v>375</v>
      </c>
      <c r="J27" s="10">
        <v>140</v>
      </c>
      <c r="K27" s="21"/>
      <c r="L27" s="12"/>
      <c r="M27" s="13">
        <f t="shared" si="6"/>
        <v>1130.5999999999999</v>
      </c>
      <c r="N27" s="14">
        <f t="shared" si="0"/>
        <v>4485</v>
      </c>
      <c r="O27" s="29" t="s">
        <v>47</v>
      </c>
      <c r="P27" s="33">
        <f t="shared" si="1"/>
        <v>113.06</v>
      </c>
      <c r="Q27" s="33">
        <f t="shared" si="2"/>
        <v>122.10480000000001</v>
      </c>
    </row>
    <row r="28" spans="1:17" s="55" customFormat="1" x14ac:dyDescent="0.25">
      <c r="A28" s="5">
        <v>222</v>
      </c>
      <c r="B28" s="6" t="s">
        <v>39</v>
      </c>
      <c r="C28" s="7">
        <v>8000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3354.2</v>
      </c>
      <c r="I28" s="10">
        <v>375</v>
      </c>
      <c r="J28" s="10">
        <v>0</v>
      </c>
      <c r="K28" s="21"/>
      <c r="L28" s="19"/>
      <c r="M28" s="13">
        <f t="shared" si="6"/>
        <v>4270.8</v>
      </c>
      <c r="N28" s="14">
        <f t="shared" si="0"/>
        <v>7625</v>
      </c>
      <c r="O28" s="29" t="s">
        <v>47</v>
      </c>
      <c r="P28" s="33">
        <f t="shared" si="1"/>
        <v>427.08000000000004</v>
      </c>
      <c r="Q28" s="33">
        <f t="shared" si="2"/>
        <v>461.24640000000005</v>
      </c>
    </row>
    <row r="29" spans="1:17" s="55" customFormat="1" x14ac:dyDescent="0.25">
      <c r="A29" s="5">
        <v>226</v>
      </c>
      <c r="B29" s="6" t="s">
        <v>40</v>
      </c>
      <c r="C29" s="7">
        <v>7500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2677.4</v>
      </c>
      <c r="I29" s="10">
        <v>375</v>
      </c>
      <c r="J29" s="10">
        <v>175</v>
      </c>
      <c r="K29" s="21">
        <v>2098.5</v>
      </c>
      <c r="L29" s="12"/>
      <c r="M29" s="13">
        <f t="shared" si="6"/>
        <v>2174.1000000000004</v>
      </c>
      <c r="N29" s="14">
        <f t="shared" si="0"/>
        <v>4851.5</v>
      </c>
      <c r="O29" s="29" t="s">
        <v>47</v>
      </c>
      <c r="P29" s="33">
        <f t="shared" si="1"/>
        <v>217.41000000000005</v>
      </c>
      <c r="Q29" s="33">
        <f t="shared" si="2"/>
        <v>234.80280000000008</v>
      </c>
    </row>
    <row r="30" spans="1:17" s="55" customFormat="1" x14ac:dyDescent="0.25">
      <c r="A30" s="5">
        <v>227</v>
      </c>
      <c r="B30" s="6" t="s">
        <v>41</v>
      </c>
      <c r="C30" s="7">
        <v>6000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3354.4</v>
      </c>
      <c r="I30" s="10">
        <v>300</v>
      </c>
      <c r="J30" s="10">
        <v>140</v>
      </c>
      <c r="K30" s="21"/>
      <c r="L30" s="12"/>
      <c r="M30" s="13">
        <f t="shared" si="6"/>
        <v>2205.6</v>
      </c>
      <c r="N30" s="14">
        <f t="shared" si="0"/>
        <v>5560</v>
      </c>
      <c r="O30" s="29" t="s">
        <v>47</v>
      </c>
      <c r="P30" s="33">
        <f t="shared" si="1"/>
        <v>220.56</v>
      </c>
      <c r="Q30" s="33">
        <f t="shared" si="2"/>
        <v>238.20480000000001</v>
      </c>
    </row>
    <row r="31" spans="1:17" s="55" customFormat="1" x14ac:dyDescent="0.25">
      <c r="A31" s="5">
        <v>233</v>
      </c>
      <c r="B31" s="6" t="s">
        <v>42</v>
      </c>
      <c r="C31" s="7">
        <v>6250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3354.2</v>
      </c>
      <c r="I31" s="10">
        <v>375</v>
      </c>
      <c r="J31" s="10">
        <v>105</v>
      </c>
      <c r="K31" s="21"/>
      <c r="L31" s="12"/>
      <c r="M31" s="13">
        <f t="shared" si="6"/>
        <v>2415.8000000000002</v>
      </c>
      <c r="N31" s="14">
        <f t="shared" si="0"/>
        <v>5770</v>
      </c>
      <c r="O31" s="31" t="s">
        <v>47</v>
      </c>
      <c r="P31" s="33">
        <f t="shared" si="1"/>
        <v>241.58000000000004</v>
      </c>
      <c r="Q31" s="33">
        <f t="shared" si="2"/>
        <v>260.90640000000008</v>
      </c>
    </row>
    <row r="32" spans="1:17" s="55" customFormat="1" x14ac:dyDescent="0.25">
      <c r="A32" s="5">
        <v>237</v>
      </c>
      <c r="B32" s="6" t="s">
        <v>43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150</v>
      </c>
      <c r="J32" s="10">
        <v>105</v>
      </c>
      <c r="K32" s="11">
        <v>600</v>
      </c>
      <c r="L32" s="19"/>
      <c r="M32" s="13">
        <f>C32-H32-I32+L32-K32-J32</f>
        <v>790.59999999999991</v>
      </c>
      <c r="N32" s="14">
        <f>H32+M32</f>
        <v>4145</v>
      </c>
      <c r="O32" s="29" t="s">
        <v>47</v>
      </c>
      <c r="P32" s="33">
        <f>+M32*0.1</f>
        <v>79.06</v>
      </c>
      <c r="Q32" s="33">
        <f t="shared" si="2"/>
        <v>85.384800000000013</v>
      </c>
    </row>
    <row r="33" spans="1:17" s="55" customFormat="1" x14ac:dyDescent="0.25">
      <c r="A33" s="5">
        <v>244</v>
      </c>
      <c r="B33" s="6" t="s">
        <v>44</v>
      </c>
      <c r="C33" s="7">
        <v>5000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3354.4</v>
      </c>
      <c r="I33" s="10">
        <v>150</v>
      </c>
      <c r="J33" s="10">
        <v>70</v>
      </c>
      <c r="K33" s="21"/>
      <c r="L33" s="12"/>
      <c r="M33" s="13">
        <f>C33-H33-I33+L33-K33-J33</f>
        <v>1425.6</v>
      </c>
      <c r="N33" s="14">
        <f t="shared" si="0"/>
        <v>4780</v>
      </c>
      <c r="O33" s="29" t="s">
        <v>47</v>
      </c>
      <c r="P33" s="33">
        <f t="shared" si="1"/>
        <v>142.56</v>
      </c>
      <c r="Q33" s="33">
        <f t="shared" si="2"/>
        <v>153.96480000000003</v>
      </c>
    </row>
    <row r="34" spans="1:17" s="55" customFormat="1" x14ac:dyDescent="0.25">
      <c r="A34" s="5">
        <v>245</v>
      </c>
      <c r="B34" s="6" t="s">
        <v>45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3432.2</v>
      </c>
      <c r="I34" s="10">
        <v>75</v>
      </c>
      <c r="J34" s="10">
        <v>0</v>
      </c>
      <c r="K34" s="11">
        <v>300</v>
      </c>
      <c r="L34" s="12">
        <v>357.14</v>
      </c>
      <c r="M34" s="13">
        <f t="shared" si="6"/>
        <v>1549.94</v>
      </c>
      <c r="N34" s="14">
        <f t="shared" si="0"/>
        <v>4982.1399999999994</v>
      </c>
      <c r="O34" s="34">
        <v>2</v>
      </c>
      <c r="P34" s="33">
        <f t="shared" si="1"/>
        <v>154.99400000000003</v>
      </c>
      <c r="Q34" s="33">
        <f t="shared" si="2"/>
        <v>167.39352000000005</v>
      </c>
    </row>
    <row r="35" spans="1:17" s="55" customFormat="1" x14ac:dyDescent="0.25">
      <c r="A35" s="5">
        <v>252</v>
      </c>
      <c r="B35" s="6" t="s">
        <v>53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3354.2</v>
      </c>
      <c r="I35" s="10">
        <v>225</v>
      </c>
      <c r="J35" s="10">
        <v>105</v>
      </c>
      <c r="K35" s="21"/>
      <c r="L35" s="19"/>
      <c r="M35" s="13">
        <f t="shared" si="6"/>
        <v>315.80000000000018</v>
      </c>
      <c r="N35" s="14">
        <f t="shared" si="0"/>
        <v>3670</v>
      </c>
      <c r="O35" s="5" t="s">
        <v>47</v>
      </c>
      <c r="P35" s="33">
        <f t="shared" si="1"/>
        <v>31.58000000000002</v>
      </c>
      <c r="Q35" s="33">
        <f t="shared" si="2"/>
        <v>34.106400000000022</v>
      </c>
    </row>
    <row r="36" spans="1:17" s="55" customFormat="1" x14ac:dyDescent="0.25">
      <c r="A36" s="5">
        <v>260</v>
      </c>
      <c r="B36" s="6" t="s">
        <v>54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3354.4</v>
      </c>
      <c r="I36" s="10">
        <v>0</v>
      </c>
      <c r="J36" s="10">
        <v>0</v>
      </c>
      <c r="K36" s="11">
        <v>900</v>
      </c>
      <c r="L36" s="19"/>
      <c r="M36" s="13">
        <f t="shared" si="6"/>
        <v>745.59999999999991</v>
      </c>
      <c r="N36" s="14">
        <f t="shared" si="0"/>
        <v>4100</v>
      </c>
      <c r="O36" s="5" t="s">
        <v>47</v>
      </c>
      <c r="P36" s="33">
        <f t="shared" si="1"/>
        <v>74.559999999999988</v>
      </c>
      <c r="Q36" s="33">
        <f t="shared" si="2"/>
        <v>80.524799999999999</v>
      </c>
    </row>
    <row r="37" spans="1:17" s="55" customFormat="1" x14ac:dyDescent="0.25">
      <c r="A37" s="5">
        <v>261</v>
      </c>
      <c r="B37" s="6" t="s">
        <v>55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2370.8000000000002</v>
      </c>
      <c r="I37" s="10">
        <v>300</v>
      </c>
      <c r="J37" s="10">
        <v>70</v>
      </c>
      <c r="K37" s="16">
        <v>1213.3499999999999</v>
      </c>
      <c r="L37" s="19"/>
      <c r="M37" s="13">
        <f t="shared" si="6"/>
        <v>45.849999999999909</v>
      </c>
      <c r="N37" s="14">
        <f t="shared" si="0"/>
        <v>2416.65</v>
      </c>
      <c r="O37" s="5" t="s">
        <v>47</v>
      </c>
      <c r="P37" s="33">
        <f t="shared" si="1"/>
        <v>4.5849999999999911</v>
      </c>
      <c r="Q37" s="33">
        <f t="shared" si="2"/>
        <v>4.9517999999999907</v>
      </c>
    </row>
    <row r="38" spans="1:17" s="55" customFormat="1" x14ac:dyDescent="0.25">
      <c r="A38" s="5">
        <v>267</v>
      </c>
      <c r="B38" s="6" t="s">
        <v>56</v>
      </c>
      <c r="C38" s="7">
        <v>5000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2857</v>
      </c>
      <c r="I38" s="10">
        <v>300</v>
      </c>
      <c r="J38" s="10">
        <v>70</v>
      </c>
      <c r="K38" s="16">
        <v>727.3</v>
      </c>
      <c r="L38" s="12"/>
      <c r="M38" s="13">
        <f t="shared" si="6"/>
        <v>1045.7</v>
      </c>
      <c r="N38" s="14">
        <f t="shared" si="0"/>
        <v>3902.7</v>
      </c>
      <c r="O38" s="5" t="s">
        <v>47</v>
      </c>
      <c r="P38" s="33">
        <f t="shared" si="1"/>
        <v>104.57000000000001</v>
      </c>
      <c r="Q38" s="33">
        <f t="shared" si="2"/>
        <v>112.93560000000002</v>
      </c>
    </row>
    <row r="39" spans="1:17" s="55" customFormat="1" x14ac:dyDescent="0.25">
      <c r="A39" s="5">
        <v>268</v>
      </c>
      <c r="B39" s="6" t="s">
        <v>57</v>
      </c>
      <c r="C39" s="7">
        <v>4000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3354.4</v>
      </c>
      <c r="I39" s="10">
        <v>150</v>
      </c>
      <c r="J39" s="10">
        <v>35</v>
      </c>
      <c r="K39" s="11"/>
      <c r="L39" s="19"/>
      <c r="M39" s="13">
        <f t="shared" si="6"/>
        <v>460.59999999999991</v>
      </c>
      <c r="N39" s="14">
        <f t="shared" si="0"/>
        <v>3815</v>
      </c>
      <c r="O39" s="5" t="s">
        <v>47</v>
      </c>
      <c r="P39" s="33">
        <f t="shared" si="1"/>
        <v>46.059999999999995</v>
      </c>
      <c r="Q39" s="33">
        <f t="shared" si="2"/>
        <v>49.744799999999998</v>
      </c>
    </row>
    <row r="40" spans="1:17" s="55" customFormat="1" x14ac:dyDescent="0.25">
      <c r="A40" s="5">
        <v>269</v>
      </c>
      <c r="B40" s="6" t="s">
        <v>58</v>
      </c>
      <c r="C40" s="7">
        <v>7000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2879</v>
      </c>
      <c r="I40" s="10">
        <v>150</v>
      </c>
      <c r="J40" s="10">
        <v>105</v>
      </c>
      <c r="K40" s="21">
        <v>1487.74</v>
      </c>
      <c r="L40" s="19"/>
      <c r="M40" s="13">
        <f t="shared" si="6"/>
        <v>2378.2600000000002</v>
      </c>
      <c r="N40" s="14">
        <f t="shared" si="0"/>
        <v>5257.26</v>
      </c>
      <c r="O40" s="5" t="s">
        <v>47</v>
      </c>
      <c r="P40" s="33">
        <f t="shared" si="1"/>
        <v>237.82600000000002</v>
      </c>
      <c r="Q40" s="33">
        <f t="shared" si="2"/>
        <v>256.85208000000006</v>
      </c>
    </row>
    <row r="41" spans="1:17" s="55" customFormat="1" x14ac:dyDescent="0.25">
      <c r="A41" s="5">
        <v>271</v>
      </c>
      <c r="B41" s="6" t="s">
        <v>59</v>
      </c>
      <c r="C41" s="7">
        <v>3500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3021.2</v>
      </c>
      <c r="I41" s="10">
        <v>150</v>
      </c>
      <c r="J41" s="10">
        <v>35</v>
      </c>
      <c r="K41" s="21">
        <v>293.92</v>
      </c>
      <c r="L41" s="19"/>
      <c r="M41" s="84">
        <f>C41-H41-I41+L41-K41-J41+0.12</f>
        <v>1.659783421814609E-13</v>
      </c>
      <c r="N41" s="14">
        <f t="shared" si="0"/>
        <v>3021.2</v>
      </c>
      <c r="O41" s="5" t="s">
        <v>47</v>
      </c>
      <c r="P41" s="33">
        <f t="shared" si="1"/>
        <v>1.659783421814609E-14</v>
      </c>
      <c r="Q41" s="33">
        <f t="shared" si="2"/>
        <v>1.7925660955597778E-14</v>
      </c>
    </row>
    <row r="42" spans="1:17" s="55" customFormat="1" x14ac:dyDescent="0.25">
      <c r="A42" s="5">
        <v>275</v>
      </c>
      <c r="B42" s="6" t="s">
        <v>60</v>
      </c>
      <c r="C42" s="7">
        <v>3375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2787.2</v>
      </c>
      <c r="I42" s="10">
        <v>0</v>
      </c>
      <c r="J42" s="10">
        <v>0</v>
      </c>
      <c r="K42" s="21">
        <v>587.84</v>
      </c>
      <c r="L42" s="19"/>
      <c r="M42" s="84">
        <f>C42-H42-I42+L42-K42-J42+0.04</f>
        <v>1.5006745845980163E-13</v>
      </c>
      <c r="N42" s="14">
        <f t="shared" si="0"/>
        <v>2787.2</v>
      </c>
      <c r="O42" s="5" t="s">
        <v>47</v>
      </c>
      <c r="P42" s="33">
        <f t="shared" si="1"/>
        <v>1.5006745845980165E-14</v>
      </c>
      <c r="Q42" s="33">
        <f t="shared" si="2"/>
        <v>1.6207285513658578E-14</v>
      </c>
    </row>
    <row r="43" spans="1:17" s="55" customFormat="1" x14ac:dyDescent="0.25">
      <c r="A43" s="5">
        <v>276</v>
      </c>
      <c r="B43" s="6" t="s">
        <v>61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225</v>
      </c>
      <c r="J43" s="10">
        <v>140</v>
      </c>
      <c r="K43" s="11"/>
      <c r="L43" s="19"/>
      <c r="M43" s="13">
        <f t="shared" si="6"/>
        <v>1280.5999999999999</v>
      </c>
      <c r="N43" s="14">
        <f t="shared" si="0"/>
        <v>4635</v>
      </c>
      <c r="O43" s="5" t="s">
        <v>47</v>
      </c>
      <c r="P43" s="33">
        <f t="shared" si="1"/>
        <v>128.06</v>
      </c>
      <c r="Q43" s="33">
        <f t="shared" si="2"/>
        <v>138.3048</v>
      </c>
    </row>
    <row r="44" spans="1:17" s="55" customFormat="1" x14ac:dyDescent="0.25">
      <c r="A44" s="5">
        <v>279</v>
      </c>
      <c r="B44" s="6" t="s">
        <v>63</v>
      </c>
      <c r="C44" s="7">
        <v>3500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2951.2</v>
      </c>
      <c r="I44" s="10">
        <v>150</v>
      </c>
      <c r="J44" s="10">
        <v>105</v>
      </c>
      <c r="K44" s="21">
        <v>293.92</v>
      </c>
      <c r="L44" s="19"/>
      <c r="M44" s="84">
        <f>C44-H44-I44+L44-K44-J44+0.12</f>
        <v>1.659783421814609E-13</v>
      </c>
      <c r="N44" s="14">
        <f t="shared" si="0"/>
        <v>2951.2</v>
      </c>
      <c r="O44" s="5" t="s">
        <v>47</v>
      </c>
      <c r="P44" s="33">
        <f t="shared" si="1"/>
        <v>1.659783421814609E-14</v>
      </c>
      <c r="Q44" s="33">
        <f t="shared" si="2"/>
        <v>1.7925660955597778E-14</v>
      </c>
    </row>
    <row r="45" spans="1:17" s="55" customFormat="1" x14ac:dyDescent="0.25">
      <c r="A45" s="5">
        <v>280</v>
      </c>
      <c r="B45" s="6" t="s">
        <v>64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3354.4</v>
      </c>
      <c r="I45" s="10">
        <v>0</v>
      </c>
      <c r="J45" s="10">
        <v>0</v>
      </c>
      <c r="K45" s="11"/>
      <c r="L45" s="19"/>
      <c r="M45" s="13">
        <f t="shared" si="6"/>
        <v>1645.6</v>
      </c>
      <c r="N45" s="14">
        <f t="shared" si="0"/>
        <v>5000</v>
      </c>
      <c r="O45" s="5" t="s">
        <v>47</v>
      </c>
      <c r="P45" s="33">
        <f t="shared" si="1"/>
        <v>164.56</v>
      </c>
      <c r="Q45" s="33">
        <f t="shared" si="2"/>
        <v>177.72480000000002</v>
      </c>
    </row>
    <row r="46" spans="1:17" s="55" customFormat="1" x14ac:dyDescent="0.25">
      <c r="A46" s="5">
        <v>281</v>
      </c>
      <c r="B46" s="6" t="s">
        <v>65</v>
      </c>
      <c r="C46" s="7">
        <v>8750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3354.2</v>
      </c>
      <c r="I46" s="10">
        <v>0</v>
      </c>
      <c r="J46" s="10">
        <v>0</v>
      </c>
      <c r="K46" s="11"/>
      <c r="L46" s="19"/>
      <c r="M46" s="13">
        <f t="shared" si="6"/>
        <v>5395.8</v>
      </c>
      <c r="N46" s="14">
        <f t="shared" si="0"/>
        <v>8750</v>
      </c>
      <c r="O46" s="5" t="s">
        <v>47</v>
      </c>
      <c r="P46" s="33">
        <f t="shared" si="1"/>
        <v>539.58000000000004</v>
      </c>
      <c r="Q46" s="33">
        <f t="shared" si="2"/>
        <v>582.74640000000011</v>
      </c>
    </row>
    <row r="47" spans="1:17" s="55" customFormat="1" x14ac:dyDescent="0.25">
      <c r="A47" s="5">
        <v>283</v>
      </c>
      <c r="B47" s="6" t="s">
        <v>66</v>
      </c>
      <c r="C47" s="7">
        <v>5000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3354.2</v>
      </c>
      <c r="I47" s="10">
        <v>0</v>
      </c>
      <c r="J47" s="10">
        <v>35</v>
      </c>
      <c r="K47" s="11"/>
      <c r="L47" s="19"/>
      <c r="M47" s="13">
        <f t="shared" si="6"/>
        <v>1610.8000000000002</v>
      </c>
      <c r="N47" s="14">
        <f t="shared" si="0"/>
        <v>4965</v>
      </c>
      <c r="O47" s="5" t="s">
        <v>47</v>
      </c>
      <c r="P47" s="33">
        <f t="shared" si="1"/>
        <v>161.08000000000004</v>
      </c>
      <c r="Q47" s="33">
        <f t="shared" si="2"/>
        <v>173.96640000000005</v>
      </c>
    </row>
    <row r="48" spans="1:17" x14ac:dyDescent="0.25">
      <c r="A48" s="5">
        <v>284</v>
      </c>
      <c r="B48" s="6" t="s">
        <v>67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3100</v>
      </c>
      <c r="I48" s="10">
        <v>0</v>
      </c>
      <c r="J48" s="10">
        <v>0</v>
      </c>
      <c r="K48" s="11">
        <v>900</v>
      </c>
      <c r="L48" s="19"/>
      <c r="M48" s="13">
        <f t="shared" si="6"/>
        <v>0</v>
      </c>
      <c r="N48" s="14">
        <f t="shared" si="0"/>
        <v>3100</v>
      </c>
      <c r="O48" s="5" t="s">
        <v>47</v>
      </c>
      <c r="P48" s="33">
        <f t="shared" si="1"/>
        <v>0</v>
      </c>
      <c r="Q48" s="33">
        <f t="shared" si="2"/>
        <v>0</v>
      </c>
    </row>
    <row r="49" spans="1:18" x14ac:dyDescent="0.25">
      <c r="A49" s="5">
        <v>285</v>
      </c>
      <c r="B49" s="6" t="s">
        <v>68</v>
      </c>
      <c r="C49" s="7">
        <v>4000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3100</v>
      </c>
      <c r="I49" s="10">
        <v>0</v>
      </c>
      <c r="J49" s="10">
        <v>0</v>
      </c>
      <c r="K49" s="11">
        <v>900</v>
      </c>
      <c r="L49" s="19"/>
      <c r="M49" s="13">
        <f t="shared" si="6"/>
        <v>0</v>
      </c>
      <c r="N49" s="14">
        <f t="shared" si="0"/>
        <v>3100</v>
      </c>
      <c r="O49" s="5" t="s">
        <v>47</v>
      </c>
      <c r="P49" s="33">
        <f t="shared" si="1"/>
        <v>0</v>
      </c>
      <c r="Q49" s="33">
        <f t="shared" si="2"/>
        <v>0</v>
      </c>
    </row>
    <row r="50" spans="1:18" x14ac:dyDescent="0.25">
      <c r="A50" s="5">
        <v>286</v>
      </c>
      <c r="B50" s="6" t="s">
        <v>69</v>
      </c>
      <c r="C50" s="7">
        <v>4000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3354.4</v>
      </c>
      <c r="I50" s="10">
        <v>375</v>
      </c>
      <c r="J50" s="10">
        <v>0</v>
      </c>
      <c r="K50" s="11"/>
      <c r="L50" s="19"/>
      <c r="M50" s="13">
        <f t="shared" si="6"/>
        <v>270.59999999999991</v>
      </c>
      <c r="N50" s="14">
        <f t="shared" si="0"/>
        <v>3625</v>
      </c>
      <c r="O50" s="5" t="s">
        <v>47</v>
      </c>
      <c r="P50" s="33">
        <f t="shared" si="1"/>
        <v>27.059999999999992</v>
      </c>
      <c r="Q50" s="33">
        <f t="shared" si="2"/>
        <v>29.224799999999991</v>
      </c>
    </row>
    <row r="51" spans="1:18" x14ac:dyDescent="0.25">
      <c r="A51" s="5">
        <v>287</v>
      </c>
      <c r="B51" s="6" t="s">
        <v>72</v>
      </c>
      <c r="C51" s="7">
        <v>5000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375</v>
      </c>
      <c r="J51" s="10">
        <v>105</v>
      </c>
      <c r="K51" s="11"/>
      <c r="L51" s="19"/>
      <c r="M51" s="13">
        <f t="shared" si="6"/>
        <v>1165.5999999999999</v>
      </c>
      <c r="N51" s="14">
        <f t="shared" si="0"/>
        <v>4520</v>
      </c>
      <c r="O51" s="5" t="s">
        <v>47</v>
      </c>
      <c r="P51" s="33">
        <f t="shared" si="1"/>
        <v>116.56</v>
      </c>
      <c r="Q51" s="33">
        <f t="shared" si="2"/>
        <v>125.88480000000001</v>
      </c>
    </row>
    <row r="52" spans="1:18" x14ac:dyDescent="0.25">
      <c r="A52" s="5">
        <v>288</v>
      </c>
      <c r="B52" s="6" t="s">
        <v>73</v>
      </c>
      <c r="C52" s="7">
        <v>3500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0</v>
      </c>
      <c r="J52" s="10">
        <v>0</v>
      </c>
      <c r="K52" s="11"/>
      <c r="L52" s="19"/>
      <c r="M52" s="13">
        <f t="shared" si="6"/>
        <v>145.59999999999991</v>
      </c>
      <c r="N52" s="14">
        <f t="shared" si="0"/>
        <v>3500</v>
      </c>
      <c r="O52" s="5" t="s">
        <v>47</v>
      </c>
      <c r="P52" s="33">
        <f t="shared" si="1"/>
        <v>14.559999999999992</v>
      </c>
      <c r="Q52" s="33">
        <f t="shared" si="2"/>
        <v>15.724799999999991</v>
      </c>
    </row>
    <row r="53" spans="1:18" x14ac:dyDescent="0.25">
      <c r="A53" s="5">
        <v>289</v>
      </c>
      <c r="B53" s="6" t="s">
        <v>74</v>
      </c>
      <c r="C53" s="7">
        <v>3500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3354.4</v>
      </c>
      <c r="I53" s="10">
        <v>0</v>
      </c>
      <c r="J53" s="10">
        <v>0</v>
      </c>
      <c r="K53" s="11"/>
      <c r="L53" s="19"/>
      <c r="M53" s="13">
        <f t="shared" si="6"/>
        <v>145.59999999999991</v>
      </c>
      <c r="N53" s="14">
        <f t="shared" si="0"/>
        <v>3500</v>
      </c>
      <c r="O53" s="5" t="s">
        <v>47</v>
      </c>
      <c r="P53" s="33">
        <f t="shared" si="1"/>
        <v>14.559999999999992</v>
      </c>
      <c r="Q53" s="33">
        <f t="shared" si="2"/>
        <v>15.724799999999991</v>
      </c>
    </row>
    <row r="54" spans="1:18" x14ac:dyDescent="0.25">
      <c r="A54" s="5">
        <v>290</v>
      </c>
      <c r="B54" s="6" t="s">
        <v>75</v>
      </c>
      <c r="C54" s="7">
        <v>6250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3354.4</v>
      </c>
      <c r="I54" s="10">
        <v>0</v>
      </c>
      <c r="J54" s="10">
        <v>0</v>
      </c>
      <c r="K54" s="11"/>
      <c r="L54" s="19"/>
      <c r="M54" s="13">
        <f t="shared" si="6"/>
        <v>2895.6</v>
      </c>
      <c r="N54" s="14">
        <f t="shared" si="0"/>
        <v>6250</v>
      </c>
      <c r="O54" s="5" t="s">
        <v>47</v>
      </c>
      <c r="P54" s="33">
        <f t="shared" si="1"/>
        <v>289.56</v>
      </c>
      <c r="Q54" s="33">
        <f t="shared" si="2"/>
        <v>312.72480000000002</v>
      </c>
    </row>
    <row r="55" spans="1:18" x14ac:dyDescent="0.25">
      <c r="A55" s="5">
        <v>291</v>
      </c>
      <c r="B55" s="6" t="s">
        <v>78</v>
      </c>
      <c r="C55" s="7">
        <v>4250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75</v>
      </c>
      <c r="J55" s="10">
        <v>70</v>
      </c>
      <c r="K55" s="11"/>
      <c r="L55" s="19"/>
      <c r="M55" s="13">
        <f t="shared" si="6"/>
        <v>750.59999999999991</v>
      </c>
      <c r="N55" s="14">
        <f t="shared" si="0"/>
        <v>4105</v>
      </c>
      <c r="O55" s="5" t="s">
        <v>47</v>
      </c>
      <c r="P55" s="33">
        <f t="shared" si="1"/>
        <v>75.059999999999988</v>
      </c>
      <c r="Q55" s="33">
        <f t="shared" si="2"/>
        <v>81.064799999999991</v>
      </c>
    </row>
    <row r="56" spans="1:18" ht="16.149999999999999" customHeight="1" thickBot="1" x14ac:dyDescent="0.3"/>
    <row r="57" spans="1:18" ht="18" thickBot="1" x14ac:dyDescent="0.35">
      <c r="A57" s="23"/>
      <c r="B57" s="24"/>
      <c r="C57" s="25">
        <f t="shared" ref="C57:N57" si="7">SUM(C4:C56)</f>
        <v>257875</v>
      </c>
      <c r="D57" s="25">
        <f t="shared" si="7"/>
        <v>21833.759999999998</v>
      </c>
      <c r="E57" s="25">
        <f t="shared" si="7"/>
        <v>128483.27999999996</v>
      </c>
      <c r="F57" s="25">
        <f t="shared" si="7"/>
        <v>21413.879999999997</v>
      </c>
      <c r="G57" s="25">
        <f t="shared" si="7"/>
        <v>149897.16000000012</v>
      </c>
      <c r="H57" s="25">
        <f t="shared" si="7"/>
        <v>163226.7999999999</v>
      </c>
      <c r="I57" s="26">
        <f t="shared" si="7"/>
        <v>8325</v>
      </c>
      <c r="J57" s="26">
        <f t="shared" si="7"/>
        <v>2800</v>
      </c>
      <c r="K57" s="26">
        <f t="shared" si="7"/>
        <v>19053.219999999994</v>
      </c>
      <c r="L57" s="27">
        <f t="shared" si="7"/>
        <v>1159.28</v>
      </c>
      <c r="M57" s="25">
        <f t="shared" si="7"/>
        <v>65629.98</v>
      </c>
      <c r="N57" s="25">
        <f t="shared" si="7"/>
        <v>228856.78000000006</v>
      </c>
      <c r="P57" s="25">
        <f>SUM(P4:P56)</f>
        <v>6562.9980000000032</v>
      </c>
      <c r="Q57" s="25">
        <f>SUM(Q4:Q56)</f>
        <v>7088.0378399999991</v>
      </c>
      <c r="R57" s="55">
        <f>+N57+Q57</f>
        <v>235944.81784000006</v>
      </c>
    </row>
    <row r="58" spans="1:18" x14ac:dyDescent="0.25">
      <c r="H58" s="15"/>
      <c r="M58" s="15"/>
    </row>
    <row r="59" spans="1:18" x14ac:dyDescent="0.25">
      <c r="H59" s="15"/>
      <c r="I59">
        <f>+I57/75</f>
        <v>111</v>
      </c>
      <c r="J59" s="28">
        <f>SUM(J57)/35</f>
        <v>80</v>
      </c>
      <c r="R59" s="55">
        <v>12886.8</v>
      </c>
    </row>
    <row r="60" spans="1:18" x14ac:dyDescent="0.25">
      <c r="F60" s="15"/>
      <c r="H60" s="15">
        <f>H57+M57</f>
        <v>228856.77999999991</v>
      </c>
      <c r="K60" s="15"/>
    </row>
    <row r="61" spans="1:18" x14ac:dyDescent="0.25">
      <c r="H61" s="15">
        <f>'[1]Nom 9'!$H$53</f>
        <v>131178.05999999994</v>
      </c>
      <c r="I61" s="40"/>
      <c r="J61" s="15"/>
    </row>
    <row r="62" spans="1:18" x14ac:dyDescent="0.25">
      <c r="H62" s="15">
        <f>[2]Rino!$H$8</f>
        <v>75398.810000000012</v>
      </c>
    </row>
    <row r="63" spans="1:18" x14ac:dyDescent="0.25">
      <c r="H63" s="15">
        <f>H61+H62</f>
        <v>206576.86999999994</v>
      </c>
    </row>
  </sheetData>
  <autoFilter ref="A3:Q55" xr:uid="{00000000-0009-0000-0000-00000B000000}"/>
  <mergeCells count="2">
    <mergeCell ref="A1:N1"/>
    <mergeCell ref="A2:N2"/>
  </mergeCells>
  <pageMargins left="0.25" right="0.25" top="0.75" bottom="0.75" header="0.3" footer="0.3"/>
  <pageSetup scale="53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R64"/>
  <sheetViews>
    <sheetView showGridLines="0" zoomScaleNormal="100" workbookViewId="0">
      <selection activeCell="L30" sqref="L30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88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6" si="0">H4+M4</f>
        <v>0</v>
      </c>
      <c r="O4" s="81" t="s">
        <v>48</v>
      </c>
      <c r="P4" s="82">
        <f t="shared" ref="P4:P56" si="1">+M4*0.1</f>
        <v>0</v>
      </c>
      <c r="Q4" s="82">
        <f t="shared" ref="Q4:Q56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6" si="3">D5*6</f>
        <v>2519.2799999999997</v>
      </c>
      <c r="F5" s="8">
        <f t="shared" ref="F5:F56" si="4">$D$4</f>
        <v>419.88</v>
      </c>
      <c r="G5" s="9">
        <f t="shared" ref="G5:G56" si="5">E5+F5</f>
        <v>2939.16</v>
      </c>
      <c r="H5" s="37">
        <v>3354.2</v>
      </c>
      <c r="I5" s="10">
        <v>0</v>
      </c>
      <c r="J5" s="10">
        <v>0</v>
      </c>
      <c r="K5" s="11"/>
      <c r="L5" s="12"/>
      <c r="M5" s="13">
        <f>C5-H5-I5+L5-K5-J5</f>
        <v>645.80000000000018</v>
      </c>
      <c r="N5" s="14">
        <f t="shared" si="0"/>
        <v>4000</v>
      </c>
      <c r="O5" s="29" t="s">
        <v>47</v>
      </c>
      <c r="P5" s="33">
        <f t="shared" si="1"/>
        <v>64.580000000000027</v>
      </c>
      <c r="Q5" s="33">
        <f t="shared" si="2"/>
        <v>69.746400000000037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3354.4</v>
      </c>
      <c r="I6" s="18">
        <v>150</v>
      </c>
      <c r="J6" s="18">
        <v>0</v>
      </c>
      <c r="K6" s="11"/>
      <c r="L6" s="12"/>
      <c r="M6" s="13">
        <f t="shared" ref="M6:M56" si="6">C6-H6-I6+L6-K6-J6</f>
        <v>11495.6</v>
      </c>
      <c r="N6" s="14">
        <f t="shared" si="0"/>
        <v>14850</v>
      </c>
      <c r="O6" s="30" t="s">
        <v>47</v>
      </c>
      <c r="P6" s="33">
        <f t="shared" si="1"/>
        <v>1149.5600000000002</v>
      </c>
      <c r="Q6" s="33">
        <f t="shared" si="2"/>
        <v>1241.5248000000004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3354.4</v>
      </c>
      <c r="I7" s="10">
        <v>225</v>
      </c>
      <c r="J7" s="10">
        <v>70</v>
      </c>
      <c r="K7" s="21"/>
      <c r="L7" s="12"/>
      <c r="M7" s="13">
        <f t="shared" si="6"/>
        <v>350.59999999999991</v>
      </c>
      <c r="N7" s="14">
        <f t="shared" si="0"/>
        <v>3705</v>
      </c>
      <c r="O7" s="36" t="s">
        <v>47</v>
      </c>
      <c r="P7" s="33">
        <f t="shared" si="1"/>
        <v>35.059999999999995</v>
      </c>
      <c r="Q7" s="33">
        <f t="shared" si="2"/>
        <v>37.864799999999995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3354.2</v>
      </c>
      <c r="I8" s="10">
        <v>375</v>
      </c>
      <c r="J8" s="10">
        <v>0</v>
      </c>
      <c r="K8" s="11"/>
      <c r="L8" s="12"/>
      <c r="M8" s="13">
        <f t="shared" si="6"/>
        <v>770.80000000000018</v>
      </c>
      <c r="N8" s="14">
        <f t="shared" si="0"/>
        <v>4125</v>
      </c>
      <c r="O8" s="30" t="s">
        <v>47</v>
      </c>
      <c r="P8" s="33">
        <f t="shared" si="1"/>
        <v>77.080000000000027</v>
      </c>
      <c r="Q8" s="33">
        <f t="shared" si="2"/>
        <v>83.246400000000037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3019.4</v>
      </c>
      <c r="I9" s="10">
        <v>225</v>
      </c>
      <c r="J9" s="10">
        <v>70</v>
      </c>
      <c r="K9" s="16">
        <v>257.74</v>
      </c>
      <c r="L9" s="19"/>
      <c r="M9" s="22">
        <f>C9-H9-I9+L9-K9-J9</f>
        <v>427.8599999999999</v>
      </c>
      <c r="N9" s="14">
        <f t="shared" si="0"/>
        <v>3447.26</v>
      </c>
      <c r="O9" s="30" t="s">
        <v>47</v>
      </c>
      <c r="P9" s="33">
        <f t="shared" si="1"/>
        <v>42.785999999999994</v>
      </c>
      <c r="Q9" s="33">
        <f t="shared" si="2"/>
        <v>46.208879999999994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3354.4</v>
      </c>
      <c r="I10" s="10">
        <v>0</v>
      </c>
      <c r="J10" s="10">
        <v>0</v>
      </c>
      <c r="K10" s="20"/>
      <c r="L10" s="19"/>
      <c r="M10" s="13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3354.2</v>
      </c>
      <c r="I11" s="10">
        <v>75</v>
      </c>
      <c r="J11" s="10">
        <v>70</v>
      </c>
      <c r="K11" s="11"/>
      <c r="L11" s="12"/>
      <c r="M11" s="13">
        <f>C11-H11-I11+L11-K11-J11</f>
        <v>3500.8</v>
      </c>
      <c r="N11" s="14">
        <f t="shared" si="0"/>
        <v>6855</v>
      </c>
      <c r="O11" s="30" t="s">
        <v>47</v>
      </c>
      <c r="P11" s="33">
        <f t="shared" si="1"/>
        <v>350.08000000000004</v>
      </c>
      <c r="Q11" s="33">
        <f t="shared" si="2"/>
        <v>378.08640000000008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3354.4</v>
      </c>
      <c r="I12" s="10">
        <v>75</v>
      </c>
      <c r="J12" s="10">
        <v>0</v>
      </c>
      <c r="K12" s="11"/>
      <c r="L12" s="12"/>
      <c r="M12" s="13">
        <f>C12-H12-I12+L12-K12-J12</f>
        <v>1570.6</v>
      </c>
      <c r="N12" s="14">
        <f t="shared" si="0"/>
        <v>4925</v>
      </c>
      <c r="O12" s="30" t="s">
        <v>47</v>
      </c>
      <c r="P12" s="33">
        <f t="shared" si="1"/>
        <v>157.06</v>
      </c>
      <c r="Q12" s="33">
        <f t="shared" si="2"/>
        <v>169.62480000000002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3245</v>
      </c>
      <c r="I13" s="10">
        <v>150</v>
      </c>
      <c r="J13" s="10">
        <v>105</v>
      </c>
      <c r="K13" s="21"/>
      <c r="L13" s="12"/>
      <c r="M13" s="13">
        <f>C13-H13-I13+L13-K13-J13</f>
        <v>0</v>
      </c>
      <c r="N13" s="14">
        <f t="shared" si="0"/>
        <v>3245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3354.2</v>
      </c>
      <c r="I14" s="10">
        <v>300</v>
      </c>
      <c r="J14" s="10">
        <v>70</v>
      </c>
      <c r="K14" s="21"/>
      <c r="L14" s="12"/>
      <c r="M14" s="22">
        <f>C14-H14-I14+L14-K14-J14</f>
        <v>275.80000000000018</v>
      </c>
      <c r="N14" s="14">
        <f t="shared" si="0"/>
        <v>3630</v>
      </c>
      <c r="O14" s="36" t="s">
        <v>47</v>
      </c>
      <c r="P14" s="33">
        <f t="shared" si="1"/>
        <v>27.58000000000002</v>
      </c>
      <c r="Q14" s="33">
        <f t="shared" si="2"/>
        <v>29.786400000000022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3354.2</v>
      </c>
      <c r="I15" s="10">
        <v>0</v>
      </c>
      <c r="J15" s="10">
        <v>0</v>
      </c>
      <c r="K15" s="11"/>
      <c r="L15" s="12"/>
      <c r="M15" s="13">
        <f t="shared" si="6"/>
        <v>645.80000000000018</v>
      </c>
      <c r="N15" s="14">
        <f t="shared" si="0"/>
        <v>4000</v>
      </c>
      <c r="O15" s="30" t="s">
        <v>47</v>
      </c>
      <c r="P15" s="33">
        <f t="shared" si="1"/>
        <v>64.580000000000027</v>
      </c>
      <c r="Q15" s="33">
        <f t="shared" si="2"/>
        <v>69.746400000000037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3354.2</v>
      </c>
      <c r="I16" s="10">
        <v>75</v>
      </c>
      <c r="J16" s="10">
        <v>140</v>
      </c>
      <c r="K16" s="21"/>
      <c r="L16" s="12"/>
      <c r="M16" s="13">
        <f>C16-H16-I16+L16-K16-J16</f>
        <v>430.80000000000018</v>
      </c>
      <c r="N16" s="14">
        <f t="shared" si="0"/>
        <v>3785</v>
      </c>
      <c r="O16" s="29" t="s">
        <v>47</v>
      </c>
      <c r="P16" s="33">
        <f t="shared" si="1"/>
        <v>43.08000000000002</v>
      </c>
      <c r="Q16" s="33">
        <f t="shared" si="2"/>
        <v>46.526400000000024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3120.4</v>
      </c>
      <c r="I17" s="10">
        <v>0</v>
      </c>
      <c r="J17" s="10">
        <v>0</v>
      </c>
      <c r="K17" s="21">
        <v>293.92</v>
      </c>
      <c r="L17" s="19"/>
      <c r="M17" s="13">
        <f t="shared" si="6"/>
        <v>585.67999999999984</v>
      </c>
      <c r="N17" s="14">
        <f t="shared" si="0"/>
        <v>3706.08</v>
      </c>
      <c r="O17" s="29" t="s">
        <v>47</v>
      </c>
      <c r="P17" s="33">
        <f t="shared" si="1"/>
        <v>58.567999999999984</v>
      </c>
      <c r="Q17" s="33">
        <f t="shared" si="2"/>
        <v>63.253439999999983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3354.2</v>
      </c>
      <c r="I18" s="10">
        <v>375</v>
      </c>
      <c r="J18" s="10">
        <v>140</v>
      </c>
      <c r="K18" s="21"/>
      <c r="L18" s="12"/>
      <c r="M18" s="13">
        <f t="shared" si="6"/>
        <v>130.80000000000018</v>
      </c>
      <c r="N18" s="14">
        <f t="shared" si="0"/>
        <v>3485</v>
      </c>
      <c r="O18" s="29" t="s">
        <v>47</v>
      </c>
      <c r="P18" s="33">
        <f t="shared" si="1"/>
        <v>13.08000000000002</v>
      </c>
      <c r="Q18" s="33">
        <f t="shared" si="2"/>
        <v>14.126400000000022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2376</v>
      </c>
      <c r="I19" s="10">
        <v>0</v>
      </c>
      <c r="J19" s="10">
        <v>0</v>
      </c>
      <c r="K19" s="16">
        <v>908.03</v>
      </c>
      <c r="L19" s="12"/>
      <c r="M19" s="13">
        <f t="shared" si="6"/>
        <v>6715.97</v>
      </c>
      <c r="N19" s="14">
        <f t="shared" si="0"/>
        <v>9091.9700000000012</v>
      </c>
      <c r="O19" s="29" t="s">
        <v>50</v>
      </c>
      <c r="P19" s="33">
        <f t="shared" si="1"/>
        <v>671.59700000000009</v>
      </c>
      <c r="Q19" s="33">
        <f t="shared" si="2"/>
        <v>725.3247600000002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3354.2</v>
      </c>
      <c r="I20" s="10">
        <v>375</v>
      </c>
      <c r="J20" s="10">
        <v>0</v>
      </c>
      <c r="K20" s="11"/>
      <c r="L20" s="19"/>
      <c r="M20" s="13">
        <f t="shared" si="6"/>
        <v>4270.8</v>
      </c>
      <c r="N20" s="14">
        <f t="shared" si="0"/>
        <v>7625</v>
      </c>
      <c r="O20" s="29" t="s">
        <v>47</v>
      </c>
      <c r="P20" s="33">
        <f t="shared" si="1"/>
        <v>427.08000000000004</v>
      </c>
      <c r="Q20" s="33">
        <f t="shared" si="2"/>
        <v>461.24640000000005</v>
      </c>
    </row>
    <row r="21" spans="1:17" s="55" customFormat="1" x14ac:dyDescent="0.25">
      <c r="A21" s="5">
        <v>199</v>
      </c>
      <c r="B21" s="6" t="s">
        <v>31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2971.2</v>
      </c>
      <c r="I21" s="10">
        <v>0</v>
      </c>
      <c r="J21" s="10">
        <v>0</v>
      </c>
      <c r="K21" s="16">
        <v>793.92</v>
      </c>
      <c r="L21" s="12"/>
      <c r="M21" s="22">
        <f>C21-H21-I21+L21-K21-J21</f>
        <v>234.88000000000022</v>
      </c>
      <c r="N21" s="14">
        <f t="shared" si="0"/>
        <v>3206.08</v>
      </c>
      <c r="O21" s="29" t="s">
        <v>47</v>
      </c>
      <c r="P21" s="33">
        <f t="shared" si="1"/>
        <v>23.488000000000024</v>
      </c>
      <c r="Q21" s="33">
        <f t="shared" si="2"/>
        <v>25.367040000000028</v>
      </c>
    </row>
    <row r="22" spans="1:17" s="55" customFormat="1" ht="13.5" customHeight="1" x14ac:dyDescent="0.25">
      <c r="A22" s="5">
        <v>204</v>
      </c>
      <c r="B22" s="6" t="s">
        <v>33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225</v>
      </c>
      <c r="J22" s="10">
        <v>70</v>
      </c>
      <c r="K22" s="11"/>
      <c r="L22" s="19"/>
      <c r="M22" s="13">
        <f t="shared" si="6"/>
        <v>350.59999999999991</v>
      </c>
      <c r="N22" s="14">
        <f t="shared" si="0"/>
        <v>3705</v>
      </c>
      <c r="O22" s="29" t="s">
        <v>47</v>
      </c>
      <c r="P22" s="33">
        <f t="shared" si="1"/>
        <v>35.059999999999995</v>
      </c>
      <c r="Q22" s="33">
        <f t="shared" si="2"/>
        <v>37.864799999999995</v>
      </c>
    </row>
    <row r="23" spans="1:17" s="55" customFormat="1" x14ac:dyDescent="0.25">
      <c r="A23" s="5">
        <v>213</v>
      </c>
      <c r="B23" s="6" t="s">
        <v>34</v>
      </c>
      <c r="C23" s="7">
        <v>4000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3180.6</v>
      </c>
      <c r="I23" s="10">
        <v>0</v>
      </c>
      <c r="J23" s="10">
        <v>0</v>
      </c>
      <c r="K23" s="16">
        <v>173.66</v>
      </c>
      <c r="L23" s="19"/>
      <c r="M23" s="13">
        <f t="shared" si="6"/>
        <v>645.74000000000012</v>
      </c>
      <c r="N23" s="14">
        <f t="shared" si="0"/>
        <v>3826.34</v>
      </c>
      <c r="O23" s="29" t="s">
        <v>50</v>
      </c>
      <c r="P23" s="33">
        <f t="shared" si="1"/>
        <v>64.574000000000012</v>
      </c>
      <c r="Q23" s="33">
        <f t="shared" si="2"/>
        <v>69.739920000000012</v>
      </c>
    </row>
    <row r="24" spans="1:17" s="55" customFormat="1" x14ac:dyDescent="0.25">
      <c r="A24" s="5">
        <v>215</v>
      </c>
      <c r="B24" s="6" t="s">
        <v>35</v>
      </c>
      <c r="C24" s="7">
        <v>5000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3354.4</v>
      </c>
      <c r="I24" s="10">
        <v>225</v>
      </c>
      <c r="J24" s="10">
        <v>105</v>
      </c>
      <c r="K24" s="11"/>
      <c r="L24" s="19"/>
      <c r="M24" s="13">
        <f t="shared" si="6"/>
        <v>1315.6</v>
      </c>
      <c r="N24" s="14">
        <f t="shared" si="0"/>
        <v>4670</v>
      </c>
      <c r="O24" s="29" t="s">
        <v>47</v>
      </c>
      <c r="P24" s="33">
        <f t="shared" si="1"/>
        <v>131.56</v>
      </c>
      <c r="Q24" s="33">
        <f t="shared" si="2"/>
        <v>142.0848</v>
      </c>
    </row>
    <row r="25" spans="1:17" s="55" customFormat="1" x14ac:dyDescent="0.25">
      <c r="A25" s="5">
        <v>218</v>
      </c>
      <c r="B25" s="6" t="s">
        <v>36</v>
      </c>
      <c r="C25" s="7">
        <v>3500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7">
        <v>3354.4</v>
      </c>
      <c r="I25" s="10">
        <v>0</v>
      </c>
      <c r="J25" s="10">
        <v>0</v>
      </c>
      <c r="K25" s="21"/>
      <c r="L25" s="12"/>
      <c r="M25" s="13">
        <f t="shared" si="6"/>
        <v>145.59999999999991</v>
      </c>
      <c r="N25" s="14">
        <f t="shared" si="0"/>
        <v>3500</v>
      </c>
      <c r="O25" s="29" t="s">
        <v>49</v>
      </c>
      <c r="P25" s="33">
        <f t="shared" si="1"/>
        <v>14.559999999999992</v>
      </c>
      <c r="Q25" s="33">
        <f t="shared" si="2"/>
        <v>15.724799999999991</v>
      </c>
    </row>
    <row r="26" spans="1:17" s="55" customFormat="1" x14ac:dyDescent="0.25">
      <c r="A26" s="36">
        <v>220</v>
      </c>
      <c r="B26" s="6" t="s">
        <v>37</v>
      </c>
      <c r="C26" s="7">
        <v>4000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8">
        <v>3354.4</v>
      </c>
      <c r="I26" s="10">
        <v>375</v>
      </c>
      <c r="J26" s="10">
        <v>105</v>
      </c>
      <c r="K26" s="21"/>
      <c r="L26" s="12"/>
      <c r="M26" s="13">
        <f t="shared" si="6"/>
        <v>165.59999999999991</v>
      </c>
      <c r="N26" s="14">
        <f t="shared" si="0"/>
        <v>3520</v>
      </c>
      <c r="O26" s="36" t="s">
        <v>47</v>
      </c>
      <c r="P26" s="33">
        <f t="shared" si="1"/>
        <v>16.559999999999992</v>
      </c>
      <c r="Q26" s="33">
        <f t="shared" si="2"/>
        <v>17.884799999999991</v>
      </c>
    </row>
    <row r="27" spans="1:17" s="55" customFormat="1" x14ac:dyDescent="0.25">
      <c r="A27" s="5">
        <v>221</v>
      </c>
      <c r="B27" s="6" t="s">
        <v>38</v>
      </c>
      <c r="C27" s="7">
        <v>5000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3354.2</v>
      </c>
      <c r="I27" s="10">
        <v>375</v>
      </c>
      <c r="J27" s="10">
        <v>105</v>
      </c>
      <c r="K27" s="21"/>
      <c r="L27" s="12"/>
      <c r="M27" s="13">
        <f t="shared" si="6"/>
        <v>1165.8000000000002</v>
      </c>
      <c r="N27" s="14">
        <f t="shared" si="0"/>
        <v>4520</v>
      </c>
      <c r="O27" s="29" t="s">
        <v>47</v>
      </c>
      <c r="P27" s="33">
        <f t="shared" si="1"/>
        <v>116.58000000000003</v>
      </c>
      <c r="Q27" s="33">
        <f t="shared" si="2"/>
        <v>125.90640000000003</v>
      </c>
    </row>
    <row r="28" spans="1:17" s="55" customFormat="1" x14ac:dyDescent="0.25">
      <c r="A28" s="5">
        <v>222</v>
      </c>
      <c r="B28" s="6" t="s">
        <v>39</v>
      </c>
      <c r="C28" s="7">
        <v>8000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3354.4</v>
      </c>
      <c r="I28" s="10">
        <v>375</v>
      </c>
      <c r="J28" s="10">
        <v>140</v>
      </c>
      <c r="K28" s="21"/>
      <c r="L28" s="19"/>
      <c r="M28" s="13">
        <f t="shared" si="6"/>
        <v>4130.6000000000004</v>
      </c>
      <c r="N28" s="14">
        <f t="shared" si="0"/>
        <v>7485</v>
      </c>
      <c r="O28" s="29" t="s">
        <v>47</v>
      </c>
      <c r="P28" s="33">
        <f t="shared" si="1"/>
        <v>413.06000000000006</v>
      </c>
      <c r="Q28" s="33">
        <f t="shared" si="2"/>
        <v>446.10480000000007</v>
      </c>
    </row>
    <row r="29" spans="1:17" s="55" customFormat="1" x14ac:dyDescent="0.25">
      <c r="A29" s="5">
        <v>226</v>
      </c>
      <c r="B29" s="6" t="s">
        <v>40</v>
      </c>
      <c r="C29" s="7">
        <v>7500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375</v>
      </c>
      <c r="J29" s="10">
        <v>140</v>
      </c>
      <c r="K29" s="21">
        <v>300</v>
      </c>
      <c r="L29" s="12"/>
      <c r="M29" s="13">
        <f t="shared" si="6"/>
        <v>3330.6000000000004</v>
      </c>
      <c r="N29" s="14">
        <f t="shared" si="0"/>
        <v>6685</v>
      </c>
      <c r="O29" s="29" t="s">
        <v>47</v>
      </c>
      <c r="P29" s="33">
        <f t="shared" si="1"/>
        <v>333.06000000000006</v>
      </c>
      <c r="Q29" s="33">
        <f t="shared" si="2"/>
        <v>359.70480000000009</v>
      </c>
    </row>
    <row r="30" spans="1:17" s="55" customFormat="1" x14ac:dyDescent="0.25">
      <c r="A30" s="5">
        <v>227</v>
      </c>
      <c r="B30" s="6" t="s">
        <v>41</v>
      </c>
      <c r="C30" s="7">
        <v>6000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3120.2</v>
      </c>
      <c r="I30" s="10">
        <v>375</v>
      </c>
      <c r="J30" s="10">
        <v>140</v>
      </c>
      <c r="K30" s="21">
        <v>293.92</v>
      </c>
      <c r="L30" s="12">
        <v>1609</v>
      </c>
      <c r="M30" s="13">
        <f t="shared" si="6"/>
        <v>3679.88</v>
      </c>
      <c r="N30" s="14">
        <f t="shared" si="0"/>
        <v>6800.08</v>
      </c>
      <c r="O30" s="29" t="s">
        <v>47</v>
      </c>
      <c r="P30" s="33">
        <f t="shared" si="1"/>
        <v>367.98800000000006</v>
      </c>
      <c r="Q30" s="33">
        <f t="shared" si="2"/>
        <v>397.42704000000009</v>
      </c>
    </row>
    <row r="31" spans="1:17" s="55" customFormat="1" x14ac:dyDescent="0.25">
      <c r="A31" s="5">
        <v>233</v>
      </c>
      <c r="B31" s="6" t="s">
        <v>42</v>
      </c>
      <c r="C31" s="7">
        <v>6250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3354.4</v>
      </c>
      <c r="I31" s="10">
        <v>375</v>
      </c>
      <c r="J31" s="10">
        <v>35</v>
      </c>
      <c r="K31" s="21"/>
      <c r="L31" s="12"/>
      <c r="M31" s="13">
        <f t="shared" si="6"/>
        <v>2485.6</v>
      </c>
      <c r="N31" s="14">
        <f t="shared" si="0"/>
        <v>5840</v>
      </c>
      <c r="O31" s="31" t="s">
        <v>47</v>
      </c>
      <c r="P31" s="33">
        <f t="shared" si="1"/>
        <v>248.56</v>
      </c>
      <c r="Q31" s="33">
        <f t="shared" si="2"/>
        <v>268.44480000000004</v>
      </c>
    </row>
    <row r="32" spans="1:17" s="55" customFormat="1" x14ac:dyDescent="0.25">
      <c r="A32" s="5">
        <v>237</v>
      </c>
      <c r="B32" s="6" t="s">
        <v>43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3354.2</v>
      </c>
      <c r="I32" s="10">
        <v>225</v>
      </c>
      <c r="J32" s="10">
        <v>70</v>
      </c>
      <c r="K32" s="11"/>
      <c r="L32" s="19"/>
      <c r="M32" s="13">
        <f>C32-H32-I32+L32-K32-J32</f>
        <v>1350.8000000000002</v>
      </c>
      <c r="N32" s="14">
        <f>H32+M32</f>
        <v>4705</v>
      </c>
      <c r="O32" s="29" t="s">
        <v>47</v>
      </c>
      <c r="P32" s="33">
        <f>+M32*0.1</f>
        <v>135.08000000000001</v>
      </c>
      <c r="Q32" s="33">
        <f t="shared" si="2"/>
        <v>145.88640000000001</v>
      </c>
    </row>
    <row r="33" spans="1:17" s="55" customFormat="1" x14ac:dyDescent="0.25">
      <c r="A33" s="5">
        <v>244</v>
      </c>
      <c r="B33" s="6" t="s">
        <v>44</v>
      </c>
      <c r="C33" s="7">
        <v>5000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3354.2</v>
      </c>
      <c r="I33" s="10">
        <v>225</v>
      </c>
      <c r="J33" s="10">
        <v>0</v>
      </c>
      <c r="K33" s="21"/>
      <c r="L33" s="12"/>
      <c r="M33" s="13">
        <f>C33-H33-I33+L33-K33-J33</f>
        <v>1420.8000000000002</v>
      </c>
      <c r="N33" s="14">
        <f t="shared" si="0"/>
        <v>4775</v>
      </c>
      <c r="O33" s="29" t="s">
        <v>47</v>
      </c>
      <c r="P33" s="33">
        <f t="shared" si="1"/>
        <v>142.08000000000001</v>
      </c>
      <c r="Q33" s="33">
        <f t="shared" si="2"/>
        <v>153.44640000000001</v>
      </c>
    </row>
    <row r="34" spans="1:17" s="55" customFormat="1" x14ac:dyDescent="0.25">
      <c r="A34" s="5">
        <v>245</v>
      </c>
      <c r="B34" s="6" t="s">
        <v>45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3354.4</v>
      </c>
      <c r="I34" s="10">
        <v>75</v>
      </c>
      <c r="J34" s="10">
        <v>0</v>
      </c>
      <c r="K34" s="11"/>
      <c r="L34" s="12"/>
      <c r="M34" s="13">
        <f t="shared" si="6"/>
        <v>1570.6</v>
      </c>
      <c r="N34" s="14">
        <f t="shared" si="0"/>
        <v>4925</v>
      </c>
      <c r="O34" s="34">
        <v>2</v>
      </c>
      <c r="P34" s="33">
        <f t="shared" si="1"/>
        <v>157.06</v>
      </c>
      <c r="Q34" s="33">
        <f t="shared" si="2"/>
        <v>169.62480000000002</v>
      </c>
    </row>
    <row r="35" spans="1:17" s="55" customFormat="1" x14ac:dyDescent="0.25">
      <c r="A35" s="5">
        <v>252</v>
      </c>
      <c r="B35" s="6" t="s">
        <v>53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3354.4</v>
      </c>
      <c r="I35" s="10">
        <v>75</v>
      </c>
      <c r="J35" s="10">
        <v>70</v>
      </c>
      <c r="K35" s="21"/>
      <c r="L35" s="19"/>
      <c r="M35" s="13">
        <f t="shared" si="6"/>
        <v>500.59999999999991</v>
      </c>
      <c r="N35" s="14">
        <f t="shared" si="0"/>
        <v>3855</v>
      </c>
      <c r="O35" s="5" t="s">
        <v>47</v>
      </c>
      <c r="P35" s="33">
        <f t="shared" si="1"/>
        <v>50.059999999999995</v>
      </c>
      <c r="Q35" s="33">
        <f t="shared" si="2"/>
        <v>54.064799999999998</v>
      </c>
    </row>
    <row r="36" spans="1:17" s="55" customFormat="1" x14ac:dyDescent="0.25">
      <c r="A36" s="5">
        <v>260</v>
      </c>
      <c r="B36" s="6" t="s">
        <v>54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3354.2</v>
      </c>
      <c r="I36" s="10">
        <v>0</v>
      </c>
      <c r="J36" s="10">
        <v>0</v>
      </c>
      <c r="K36" s="11"/>
      <c r="L36" s="19"/>
      <c r="M36" s="13">
        <f t="shared" si="6"/>
        <v>1645.8000000000002</v>
      </c>
      <c r="N36" s="14">
        <f t="shared" si="0"/>
        <v>5000</v>
      </c>
      <c r="O36" s="5" t="s">
        <v>47</v>
      </c>
      <c r="P36" s="33">
        <f t="shared" si="1"/>
        <v>164.58000000000004</v>
      </c>
      <c r="Q36" s="33">
        <f t="shared" si="2"/>
        <v>177.74640000000005</v>
      </c>
    </row>
    <row r="37" spans="1:17" s="55" customFormat="1" x14ac:dyDescent="0.25">
      <c r="A37" s="5">
        <v>261</v>
      </c>
      <c r="B37" s="6" t="s">
        <v>55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2371</v>
      </c>
      <c r="I37" s="10">
        <v>225</v>
      </c>
      <c r="J37" s="10">
        <v>70</v>
      </c>
      <c r="K37" s="16">
        <v>913.35</v>
      </c>
      <c r="L37" s="19"/>
      <c r="M37" s="13">
        <f t="shared" si="6"/>
        <v>420.65</v>
      </c>
      <c r="N37" s="14">
        <f t="shared" si="0"/>
        <v>2791.65</v>
      </c>
      <c r="O37" s="5" t="s">
        <v>47</v>
      </c>
      <c r="P37" s="33">
        <f t="shared" si="1"/>
        <v>42.064999999999998</v>
      </c>
      <c r="Q37" s="33">
        <f t="shared" si="2"/>
        <v>45.430199999999999</v>
      </c>
    </row>
    <row r="38" spans="1:17" s="55" customFormat="1" x14ac:dyDescent="0.25">
      <c r="A38" s="5">
        <v>267</v>
      </c>
      <c r="B38" s="6" t="s">
        <v>56</v>
      </c>
      <c r="C38" s="7">
        <v>5000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2848.4</v>
      </c>
      <c r="I38" s="10">
        <v>150</v>
      </c>
      <c r="J38" s="10">
        <v>70</v>
      </c>
      <c r="K38" s="16">
        <v>435.88</v>
      </c>
      <c r="L38" s="12"/>
      <c r="M38" s="13">
        <f t="shared" si="6"/>
        <v>1495.7199999999998</v>
      </c>
      <c r="N38" s="14">
        <f t="shared" si="0"/>
        <v>4344.12</v>
      </c>
      <c r="O38" s="5" t="s">
        <v>47</v>
      </c>
      <c r="P38" s="33">
        <f t="shared" si="1"/>
        <v>149.57199999999997</v>
      </c>
      <c r="Q38" s="33">
        <f t="shared" si="2"/>
        <v>161.53775999999999</v>
      </c>
    </row>
    <row r="39" spans="1:17" s="55" customFormat="1" x14ac:dyDescent="0.25">
      <c r="A39" s="5">
        <v>268</v>
      </c>
      <c r="B39" s="6" t="s">
        <v>57</v>
      </c>
      <c r="C39" s="7">
        <v>4000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3354.2</v>
      </c>
      <c r="I39" s="10">
        <v>75</v>
      </c>
      <c r="J39" s="10">
        <v>0</v>
      </c>
      <c r="K39" s="11"/>
      <c r="L39" s="19"/>
      <c r="M39" s="13">
        <f t="shared" si="6"/>
        <v>570.80000000000018</v>
      </c>
      <c r="N39" s="14">
        <f t="shared" si="0"/>
        <v>3925</v>
      </c>
      <c r="O39" s="5" t="s">
        <v>47</v>
      </c>
      <c r="P39" s="33">
        <f t="shared" si="1"/>
        <v>57.08000000000002</v>
      </c>
      <c r="Q39" s="33">
        <f t="shared" si="2"/>
        <v>61.646400000000028</v>
      </c>
    </row>
    <row r="40" spans="1:17" s="55" customFormat="1" x14ac:dyDescent="0.25">
      <c r="A40" s="5">
        <v>269</v>
      </c>
      <c r="B40" s="6" t="s">
        <v>58</v>
      </c>
      <c r="C40" s="7">
        <v>7000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2879.2</v>
      </c>
      <c r="I40" s="10">
        <v>300</v>
      </c>
      <c r="J40" s="10">
        <v>140</v>
      </c>
      <c r="K40" s="21">
        <v>587.84</v>
      </c>
      <c r="L40" s="19"/>
      <c r="M40" s="13">
        <f t="shared" si="6"/>
        <v>3092.96</v>
      </c>
      <c r="N40" s="14">
        <f t="shared" si="0"/>
        <v>5972.16</v>
      </c>
      <c r="O40" s="5" t="s">
        <v>47</v>
      </c>
      <c r="P40" s="33">
        <f t="shared" si="1"/>
        <v>309.29600000000005</v>
      </c>
      <c r="Q40" s="33">
        <f t="shared" si="2"/>
        <v>334.03968000000009</v>
      </c>
    </row>
    <row r="41" spans="1:17" s="55" customFormat="1" x14ac:dyDescent="0.25">
      <c r="A41" s="5">
        <v>271</v>
      </c>
      <c r="B41" s="6" t="s">
        <v>59</v>
      </c>
      <c r="C41" s="7">
        <v>3500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2800</v>
      </c>
      <c r="I41" s="10">
        <v>375</v>
      </c>
      <c r="J41" s="10">
        <v>105</v>
      </c>
      <c r="K41" s="21">
        <v>220</v>
      </c>
      <c r="L41" s="19"/>
      <c r="M41" s="22">
        <f>C41-H41-I41+L41-K41-J41</f>
        <v>0</v>
      </c>
      <c r="N41" s="14">
        <f t="shared" si="0"/>
        <v>2800</v>
      </c>
      <c r="O41" s="5" t="s">
        <v>47</v>
      </c>
      <c r="P41" s="33">
        <f t="shared" si="1"/>
        <v>0</v>
      </c>
      <c r="Q41" s="33">
        <f t="shared" si="2"/>
        <v>0</v>
      </c>
    </row>
    <row r="42" spans="1:17" s="55" customFormat="1" x14ac:dyDescent="0.25">
      <c r="A42" s="5">
        <v>275</v>
      </c>
      <c r="B42" s="6" t="s">
        <v>60</v>
      </c>
      <c r="C42" s="7">
        <v>3375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2787.2</v>
      </c>
      <c r="I42" s="10">
        <v>0</v>
      </c>
      <c r="J42" s="10">
        <v>0</v>
      </c>
      <c r="K42" s="21">
        <v>587.84</v>
      </c>
      <c r="L42" s="19"/>
      <c r="M42" s="84">
        <f>C42-H42-I42+L42-K42-J42+0.04</f>
        <v>1.5006745845980163E-13</v>
      </c>
      <c r="N42" s="14">
        <f t="shared" si="0"/>
        <v>2787.2</v>
      </c>
      <c r="O42" s="5" t="s">
        <v>47</v>
      </c>
      <c r="P42" s="33">
        <f t="shared" si="1"/>
        <v>1.5006745845980165E-14</v>
      </c>
      <c r="Q42" s="33">
        <f t="shared" si="2"/>
        <v>1.6207285513658578E-14</v>
      </c>
    </row>
    <row r="43" spans="1:17" s="55" customFormat="1" x14ac:dyDescent="0.25">
      <c r="A43" s="5">
        <v>276</v>
      </c>
      <c r="B43" s="6" t="s">
        <v>61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375</v>
      </c>
      <c r="J43" s="10">
        <v>105</v>
      </c>
      <c r="K43" s="11"/>
      <c r="L43" s="19"/>
      <c r="M43" s="13">
        <f t="shared" si="6"/>
        <v>1165.5999999999999</v>
      </c>
      <c r="N43" s="14">
        <f t="shared" si="0"/>
        <v>4520</v>
      </c>
      <c r="O43" s="5" t="s">
        <v>47</v>
      </c>
      <c r="P43" s="33">
        <f t="shared" si="1"/>
        <v>116.56</v>
      </c>
      <c r="Q43" s="33">
        <f t="shared" si="2"/>
        <v>125.88480000000001</v>
      </c>
    </row>
    <row r="44" spans="1:17" s="55" customFormat="1" x14ac:dyDescent="0.25">
      <c r="A44" s="5">
        <v>279</v>
      </c>
      <c r="B44" s="6" t="s">
        <v>63</v>
      </c>
      <c r="C44" s="7">
        <v>3500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3245</v>
      </c>
      <c r="I44" s="10">
        <v>150</v>
      </c>
      <c r="J44" s="10">
        <v>105</v>
      </c>
      <c r="K44" s="21"/>
      <c r="L44" s="19"/>
      <c r="M44" s="22">
        <f>C44-H44-I44+L44-K44-J44</f>
        <v>0</v>
      </c>
      <c r="N44" s="14">
        <f t="shared" si="0"/>
        <v>3245</v>
      </c>
      <c r="O44" s="5" t="s">
        <v>47</v>
      </c>
      <c r="P44" s="33">
        <f t="shared" si="1"/>
        <v>0</v>
      </c>
      <c r="Q44" s="33">
        <f t="shared" si="2"/>
        <v>0</v>
      </c>
    </row>
    <row r="45" spans="1:17" s="55" customFormat="1" x14ac:dyDescent="0.25">
      <c r="A45" s="5">
        <v>280</v>
      </c>
      <c r="B45" s="6" t="s">
        <v>64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3354.2</v>
      </c>
      <c r="I45" s="10">
        <v>0</v>
      </c>
      <c r="J45" s="10">
        <v>0</v>
      </c>
      <c r="K45" s="11"/>
      <c r="L45" s="19"/>
      <c r="M45" s="13">
        <f t="shared" si="6"/>
        <v>1645.8000000000002</v>
      </c>
      <c r="N45" s="14">
        <f t="shared" si="0"/>
        <v>5000</v>
      </c>
      <c r="O45" s="5" t="s">
        <v>47</v>
      </c>
      <c r="P45" s="33">
        <f t="shared" si="1"/>
        <v>164.58000000000004</v>
      </c>
      <c r="Q45" s="33">
        <f t="shared" si="2"/>
        <v>177.74640000000005</v>
      </c>
    </row>
    <row r="46" spans="1:17" s="55" customFormat="1" x14ac:dyDescent="0.25">
      <c r="A46" s="5">
        <v>281</v>
      </c>
      <c r="B46" s="6" t="s">
        <v>65</v>
      </c>
      <c r="C46" s="7">
        <v>8750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3354.4</v>
      </c>
      <c r="I46" s="10">
        <v>0</v>
      </c>
      <c r="J46" s="10">
        <v>0</v>
      </c>
      <c r="K46" s="11"/>
      <c r="L46" s="19"/>
      <c r="M46" s="13">
        <f t="shared" si="6"/>
        <v>5395.6</v>
      </c>
      <c r="N46" s="14">
        <f t="shared" si="0"/>
        <v>8750</v>
      </c>
      <c r="O46" s="5" t="s">
        <v>47</v>
      </c>
      <c r="P46" s="33">
        <f t="shared" si="1"/>
        <v>539.56000000000006</v>
      </c>
      <c r="Q46" s="33">
        <f t="shared" si="2"/>
        <v>582.72480000000007</v>
      </c>
    </row>
    <row r="47" spans="1:17" s="55" customFormat="1" x14ac:dyDescent="0.25">
      <c r="A47" s="5">
        <v>283</v>
      </c>
      <c r="B47" s="6" t="s">
        <v>66</v>
      </c>
      <c r="C47" s="7">
        <v>5000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>
        <v>0</v>
      </c>
      <c r="J47" s="10">
        <v>0</v>
      </c>
      <c r="K47" s="11"/>
      <c r="L47" s="19"/>
      <c r="M47" s="13">
        <f t="shared" si="6"/>
        <v>1645.6</v>
      </c>
      <c r="N47" s="14">
        <f t="shared" si="0"/>
        <v>5000</v>
      </c>
      <c r="O47" s="5" t="s">
        <v>47</v>
      </c>
      <c r="P47" s="33">
        <f t="shared" si="1"/>
        <v>164.56</v>
      </c>
      <c r="Q47" s="33">
        <f t="shared" si="2"/>
        <v>177.72480000000002</v>
      </c>
    </row>
    <row r="48" spans="1:17" x14ac:dyDescent="0.25">
      <c r="A48" s="5">
        <v>284</v>
      </c>
      <c r="B48" s="6" t="s">
        <v>67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>
        <v>0</v>
      </c>
      <c r="J48" s="10">
        <v>0</v>
      </c>
      <c r="K48" s="11"/>
      <c r="L48" s="19"/>
      <c r="M48" s="13">
        <f t="shared" si="6"/>
        <v>645.59999999999991</v>
      </c>
      <c r="N48" s="14">
        <f t="shared" si="0"/>
        <v>4000</v>
      </c>
      <c r="O48" s="5" t="s">
        <v>47</v>
      </c>
      <c r="P48" s="33">
        <f t="shared" si="1"/>
        <v>64.559999999999988</v>
      </c>
      <c r="Q48" s="33">
        <f t="shared" si="2"/>
        <v>69.724799999999988</v>
      </c>
    </row>
    <row r="49" spans="1:18" x14ac:dyDescent="0.25">
      <c r="A49" s="5">
        <v>285</v>
      </c>
      <c r="B49" s="6" t="s">
        <v>68</v>
      </c>
      <c r="C49" s="7">
        <v>4000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3354.4</v>
      </c>
      <c r="I49" s="10">
        <v>0</v>
      </c>
      <c r="J49" s="10">
        <v>0</v>
      </c>
      <c r="K49" s="11"/>
      <c r="L49" s="19"/>
      <c r="M49" s="13">
        <f t="shared" si="6"/>
        <v>645.59999999999991</v>
      </c>
      <c r="N49" s="14">
        <f t="shared" si="0"/>
        <v>4000</v>
      </c>
      <c r="O49" s="5" t="s">
        <v>47</v>
      </c>
      <c r="P49" s="33">
        <f t="shared" si="1"/>
        <v>64.559999999999988</v>
      </c>
      <c r="Q49" s="33">
        <f t="shared" si="2"/>
        <v>69.724799999999988</v>
      </c>
    </row>
    <row r="50" spans="1:18" x14ac:dyDescent="0.25">
      <c r="A50" s="5">
        <v>286</v>
      </c>
      <c r="B50" s="6" t="s">
        <v>69</v>
      </c>
      <c r="C50" s="7">
        <v>4000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3354.2</v>
      </c>
      <c r="I50" s="10">
        <v>375</v>
      </c>
      <c r="J50" s="10">
        <v>0</v>
      </c>
      <c r="K50" s="11"/>
      <c r="L50" s="19"/>
      <c r="M50" s="13">
        <f t="shared" si="6"/>
        <v>270.80000000000018</v>
      </c>
      <c r="N50" s="14">
        <f t="shared" si="0"/>
        <v>3625</v>
      </c>
      <c r="O50" s="5" t="s">
        <v>47</v>
      </c>
      <c r="P50" s="33">
        <f t="shared" si="1"/>
        <v>27.08000000000002</v>
      </c>
      <c r="Q50" s="33">
        <f t="shared" si="2"/>
        <v>29.246400000000023</v>
      </c>
    </row>
    <row r="51" spans="1:18" x14ac:dyDescent="0.25">
      <c r="A51" s="5">
        <v>287</v>
      </c>
      <c r="B51" s="6" t="s">
        <v>72</v>
      </c>
      <c r="C51" s="7">
        <v>5000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375</v>
      </c>
      <c r="J51" s="10">
        <v>140</v>
      </c>
      <c r="K51" s="11"/>
      <c r="L51" s="19"/>
      <c r="M51" s="13">
        <f t="shared" si="6"/>
        <v>1130.5999999999999</v>
      </c>
      <c r="N51" s="14">
        <f t="shared" si="0"/>
        <v>4485</v>
      </c>
      <c r="O51" s="5" t="s">
        <v>47</v>
      </c>
      <c r="P51" s="33">
        <f t="shared" si="1"/>
        <v>113.06</v>
      </c>
      <c r="Q51" s="33">
        <f t="shared" si="2"/>
        <v>122.10480000000001</v>
      </c>
    </row>
    <row r="52" spans="1:18" x14ac:dyDescent="0.25">
      <c r="A52" s="5">
        <v>288</v>
      </c>
      <c r="B52" s="6" t="s">
        <v>73</v>
      </c>
      <c r="C52" s="7">
        <v>3500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0</v>
      </c>
      <c r="J52" s="10">
        <v>0</v>
      </c>
      <c r="K52" s="11"/>
      <c r="L52" s="19"/>
      <c r="M52" s="13">
        <f t="shared" si="6"/>
        <v>145.59999999999991</v>
      </c>
      <c r="N52" s="14">
        <f t="shared" si="0"/>
        <v>3500</v>
      </c>
      <c r="O52" s="5" t="s">
        <v>47</v>
      </c>
      <c r="P52" s="33">
        <f t="shared" si="1"/>
        <v>14.559999999999992</v>
      </c>
      <c r="Q52" s="33">
        <f t="shared" si="2"/>
        <v>15.724799999999991</v>
      </c>
    </row>
    <row r="53" spans="1:18" x14ac:dyDescent="0.25">
      <c r="A53" s="5">
        <v>289</v>
      </c>
      <c r="B53" s="6" t="s">
        <v>74</v>
      </c>
      <c r="C53" s="7">
        <v>3500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3354.4</v>
      </c>
      <c r="I53" s="10">
        <v>0</v>
      </c>
      <c r="J53" s="10">
        <v>0</v>
      </c>
      <c r="K53" s="11"/>
      <c r="L53" s="19"/>
      <c r="M53" s="13">
        <f t="shared" si="6"/>
        <v>145.59999999999991</v>
      </c>
      <c r="N53" s="14">
        <f t="shared" si="0"/>
        <v>3500</v>
      </c>
      <c r="O53" s="5" t="s">
        <v>47</v>
      </c>
      <c r="P53" s="33">
        <f t="shared" si="1"/>
        <v>14.559999999999992</v>
      </c>
      <c r="Q53" s="33">
        <f t="shared" si="2"/>
        <v>15.724799999999991</v>
      </c>
    </row>
    <row r="54" spans="1:18" x14ac:dyDescent="0.25">
      <c r="A54" s="5">
        <v>290</v>
      </c>
      <c r="B54" s="6" t="s">
        <v>75</v>
      </c>
      <c r="C54" s="7">
        <v>6250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3354.2</v>
      </c>
      <c r="I54" s="10">
        <v>0</v>
      </c>
      <c r="J54" s="10">
        <v>0</v>
      </c>
      <c r="K54" s="11"/>
      <c r="L54" s="19"/>
      <c r="M54" s="13">
        <f t="shared" si="6"/>
        <v>2895.8</v>
      </c>
      <c r="N54" s="14">
        <f t="shared" si="0"/>
        <v>6250</v>
      </c>
      <c r="O54" s="5" t="s">
        <v>47</v>
      </c>
      <c r="P54" s="33">
        <f t="shared" si="1"/>
        <v>289.58000000000004</v>
      </c>
      <c r="Q54" s="33">
        <f t="shared" si="2"/>
        <v>312.74640000000005</v>
      </c>
    </row>
    <row r="55" spans="1:18" x14ac:dyDescent="0.25">
      <c r="A55" s="5">
        <v>291</v>
      </c>
      <c r="B55" s="6" t="s">
        <v>78</v>
      </c>
      <c r="C55" s="7">
        <v>4250</v>
      </c>
      <c r="D55" s="7">
        <v>419.88</v>
      </c>
      <c r="E55" s="8">
        <f>D55*6</f>
        <v>2519.2799999999997</v>
      </c>
      <c r="F55" s="8">
        <f t="shared" si="4"/>
        <v>419.88</v>
      </c>
      <c r="G55" s="9">
        <f>E55+F55</f>
        <v>2939.16</v>
      </c>
      <c r="H55" s="37">
        <v>3354.2</v>
      </c>
      <c r="I55" s="10">
        <v>75</v>
      </c>
      <c r="J55" s="10">
        <v>105</v>
      </c>
      <c r="K55" s="11"/>
      <c r="L55" s="19"/>
      <c r="M55" s="13">
        <f>C55-H55-I55+L55-K55-J55</f>
        <v>715.80000000000018</v>
      </c>
      <c r="N55" s="14">
        <f>H55+M55</f>
        <v>4070</v>
      </c>
      <c r="O55" s="5" t="s">
        <v>47</v>
      </c>
      <c r="P55" s="33">
        <f>+M55*0.1</f>
        <v>71.580000000000027</v>
      </c>
      <c r="Q55" s="33">
        <f>+P55*1.08</f>
        <v>77.306400000000039</v>
      </c>
    </row>
    <row r="56" spans="1:18" x14ac:dyDescent="0.25">
      <c r="A56" s="5">
        <v>293</v>
      </c>
      <c r="B56" s="6" t="s">
        <v>89</v>
      </c>
      <c r="C56" s="7">
        <v>4000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2879</v>
      </c>
      <c r="I56" s="10">
        <v>0</v>
      </c>
      <c r="J56" s="10">
        <v>0</v>
      </c>
      <c r="K56" s="11">
        <v>668.56</v>
      </c>
      <c r="L56" s="19"/>
      <c r="M56" s="13">
        <f t="shared" si="6"/>
        <v>452.44000000000005</v>
      </c>
      <c r="N56" s="14">
        <f t="shared" si="0"/>
        <v>3331.44</v>
      </c>
      <c r="O56" s="5" t="s">
        <v>47</v>
      </c>
      <c r="P56" s="33">
        <f t="shared" si="1"/>
        <v>45.244000000000007</v>
      </c>
      <c r="Q56" s="33">
        <f t="shared" si="2"/>
        <v>48.863520000000008</v>
      </c>
    </row>
    <row r="57" spans="1:18" ht="16.149999999999999" customHeight="1" thickBot="1" x14ac:dyDescent="0.3"/>
    <row r="58" spans="1:18" ht="18" thickBot="1" x14ac:dyDescent="0.35">
      <c r="A58" s="23"/>
      <c r="B58" s="24"/>
      <c r="C58" s="25">
        <f t="shared" ref="C58:N58" si="7">SUM(C4:C57)</f>
        <v>262875</v>
      </c>
      <c r="D58" s="25">
        <f t="shared" si="7"/>
        <v>22253.64</v>
      </c>
      <c r="E58" s="25">
        <f t="shared" si="7"/>
        <v>131002.55999999995</v>
      </c>
      <c r="F58" s="25">
        <f t="shared" si="7"/>
        <v>21833.759999999998</v>
      </c>
      <c r="G58" s="25">
        <f t="shared" si="7"/>
        <v>152836.32000000012</v>
      </c>
      <c r="H58" s="25">
        <f t="shared" si="7"/>
        <v>168306.39999999991</v>
      </c>
      <c r="I58" s="26">
        <f t="shared" si="7"/>
        <v>8175</v>
      </c>
      <c r="J58" s="26">
        <f t="shared" si="7"/>
        <v>2485</v>
      </c>
      <c r="K58" s="26">
        <f t="shared" si="7"/>
        <v>6434.66</v>
      </c>
      <c r="L58" s="27">
        <f t="shared" si="7"/>
        <v>1609</v>
      </c>
      <c r="M58" s="25">
        <f t="shared" si="7"/>
        <v>79082.980000000054</v>
      </c>
      <c r="N58" s="25">
        <f t="shared" si="7"/>
        <v>247389.38</v>
      </c>
      <c r="P58" s="25">
        <f>SUM(P4:P57)</f>
        <v>7908.2980000000034</v>
      </c>
      <c r="Q58" s="25">
        <f>SUM(Q4:Q57)</f>
        <v>8540.9618400000018</v>
      </c>
      <c r="R58" s="55">
        <f>+N58+Q58</f>
        <v>255930.34184000001</v>
      </c>
    </row>
    <row r="59" spans="1:18" x14ac:dyDescent="0.25">
      <c r="H59" s="15"/>
      <c r="M59" s="15"/>
    </row>
    <row r="60" spans="1:18" x14ac:dyDescent="0.25">
      <c r="H60" s="15"/>
      <c r="I60">
        <f>+I58/75</f>
        <v>109</v>
      </c>
      <c r="J60" s="28">
        <f>SUM(J58)/35</f>
        <v>71</v>
      </c>
      <c r="R60" s="55">
        <v>12886.8</v>
      </c>
    </row>
    <row r="61" spans="1:18" x14ac:dyDescent="0.25">
      <c r="F61" s="15"/>
      <c r="H61" s="15">
        <f>H58+M58</f>
        <v>247389.37999999995</v>
      </c>
      <c r="K61" s="15"/>
    </row>
    <row r="62" spans="1:18" x14ac:dyDescent="0.25">
      <c r="H62" s="15">
        <f>'[1]Nom 9'!$H$53</f>
        <v>131178.05999999994</v>
      </c>
      <c r="I62" s="40"/>
      <c r="J62" s="15"/>
    </row>
    <row r="63" spans="1:18" x14ac:dyDescent="0.25">
      <c r="H63" s="15">
        <f>[2]Rino!$H$8</f>
        <v>75398.810000000012</v>
      </c>
    </row>
    <row r="64" spans="1:18" x14ac:dyDescent="0.25">
      <c r="H64" s="15">
        <f>H62+H63</f>
        <v>206576.86999999994</v>
      </c>
    </row>
  </sheetData>
  <autoFilter ref="A3:Q56" xr:uid="{00000000-0009-0000-0000-00000C000000}"/>
  <mergeCells count="2">
    <mergeCell ref="A1:N1"/>
    <mergeCell ref="A2:N2"/>
  </mergeCells>
  <pageMargins left="0.25" right="0.25" top="0.75" bottom="0.75" header="0.3" footer="0.3"/>
  <pageSetup scale="52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R64"/>
  <sheetViews>
    <sheetView showGridLines="0" topLeftCell="A28" zoomScaleNormal="100" workbookViewId="0">
      <selection activeCell="L5" sqref="L5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90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5" si="0">H4+M4</f>
        <v>0</v>
      </c>
      <c r="O4" s="81" t="s">
        <v>48</v>
      </c>
      <c r="P4" s="82">
        <f t="shared" ref="P4:P55" si="1">+M4*0.1</f>
        <v>0</v>
      </c>
      <c r="Q4" s="82">
        <f t="shared" ref="Q4:Q55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5" si="3">D5*6</f>
        <v>2519.2799999999997</v>
      </c>
      <c r="F5" s="8">
        <f t="shared" ref="F5:F56" si="4">$D$4</f>
        <v>419.88</v>
      </c>
      <c r="G5" s="9">
        <f t="shared" ref="G5:G55" si="5">E5+F5</f>
        <v>2939.16</v>
      </c>
      <c r="H5" s="37">
        <v>4064.8</v>
      </c>
      <c r="I5" s="10">
        <v>300</v>
      </c>
      <c r="J5" s="10">
        <v>0</v>
      </c>
      <c r="K5" s="11"/>
      <c r="L5" s="12">
        <v>999.99</v>
      </c>
      <c r="M5" s="13">
        <f>C5-H5-I5+L5-K5-J5</f>
        <v>635.18999999999983</v>
      </c>
      <c r="N5" s="14">
        <f t="shared" si="0"/>
        <v>4699.99</v>
      </c>
      <c r="O5" s="29" t="s">
        <v>47</v>
      </c>
      <c r="P5" s="33">
        <f t="shared" si="1"/>
        <v>63.518999999999984</v>
      </c>
      <c r="Q5" s="33">
        <f t="shared" si="2"/>
        <v>68.600519999999989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3354.2</v>
      </c>
      <c r="I6" s="18">
        <v>225</v>
      </c>
      <c r="J6" s="18">
        <v>0</v>
      </c>
      <c r="K6" s="11"/>
      <c r="L6" s="12"/>
      <c r="M6" s="13">
        <f t="shared" ref="M6:M55" si="6">C6-H6-I6+L6-K6-J6</f>
        <v>11420.8</v>
      </c>
      <c r="N6" s="14">
        <f t="shared" si="0"/>
        <v>14775</v>
      </c>
      <c r="O6" s="30" t="s">
        <v>47</v>
      </c>
      <c r="P6" s="33">
        <f t="shared" si="1"/>
        <v>1142.08</v>
      </c>
      <c r="Q6" s="33">
        <f t="shared" si="2"/>
        <v>1233.4464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3354.2</v>
      </c>
      <c r="I7" s="10">
        <v>225</v>
      </c>
      <c r="J7" s="10">
        <v>35</v>
      </c>
      <c r="K7" s="21"/>
      <c r="L7" s="12"/>
      <c r="M7" s="13">
        <f t="shared" si="6"/>
        <v>385.80000000000018</v>
      </c>
      <c r="N7" s="14">
        <f t="shared" si="0"/>
        <v>3740</v>
      </c>
      <c r="O7" s="36" t="s">
        <v>47</v>
      </c>
      <c r="P7" s="33">
        <f t="shared" si="1"/>
        <v>38.58000000000002</v>
      </c>
      <c r="Q7" s="33">
        <f t="shared" si="2"/>
        <v>41.666400000000024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375</v>
      </c>
      <c r="J8" s="10">
        <v>35</v>
      </c>
      <c r="K8" s="11"/>
      <c r="L8" s="12"/>
      <c r="M8" s="13">
        <f t="shared" si="6"/>
        <v>735.59999999999991</v>
      </c>
      <c r="N8" s="14">
        <f t="shared" si="0"/>
        <v>4090</v>
      </c>
      <c r="O8" s="30" t="s">
        <v>47</v>
      </c>
      <c r="P8" s="33">
        <f t="shared" si="1"/>
        <v>73.559999999999988</v>
      </c>
      <c r="Q8" s="33">
        <f t="shared" si="2"/>
        <v>79.444799999999987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3096.6</v>
      </c>
      <c r="I9" s="10">
        <v>225</v>
      </c>
      <c r="J9" s="10">
        <v>175</v>
      </c>
      <c r="K9" s="16">
        <v>257.74</v>
      </c>
      <c r="L9" s="19"/>
      <c r="M9" s="22">
        <f>C9-H9-I9+L9-K9-J9</f>
        <v>245.66000000000008</v>
      </c>
      <c r="N9" s="14">
        <f t="shared" si="0"/>
        <v>3342.26</v>
      </c>
      <c r="O9" s="30" t="s">
        <v>47</v>
      </c>
      <c r="P9" s="33">
        <f t="shared" si="1"/>
        <v>24.56600000000001</v>
      </c>
      <c r="Q9" s="33">
        <f t="shared" si="2"/>
        <v>26.531280000000013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3354.2</v>
      </c>
      <c r="I10" s="10">
        <v>0</v>
      </c>
      <c r="J10" s="10">
        <v>0</v>
      </c>
      <c r="K10" s="20"/>
      <c r="L10" s="19"/>
      <c r="M10" s="13">
        <f t="shared" si="6"/>
        <v>645.80000000000018</v>
      </c>
      <c r="N10" s="14">
        <f t="shared" si="0"/>
        <v>4000</v>
      </c>
      <c r="O10" s="30" t="s">
        <v>49</v>
      </c>
      <c r="P10" s="33">
        <f t="shared" si="1"/>
        <v>64.580000000000027</v>
      </c>
      <c r="Q10" s="33">
        <f t="shared" si="2"/>
        <v>69.746400000000037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0</v>
      </c>
      <c r="J11" s="10">
        <v>0</v>
      </c>
      <c r="K11" s="11"/>
      <c r="L11" s="12"/>
      <c r="M11" s="13">
        <f>C11-H11-I11+L11-K11-J11</f>
        <v>3645.6</v>
      </c>
      <c r="N11" s="14">
        <f t="shared" si="0"/>
        <v>7000</v>
      </c>
      <c r="O11" s="30" t="s">
        <v>47</v>
      </c>
      <c r="P11" s="33">
        <f t="shared" si="1"/>
        <v>364.56</v>
      </c>
      <c r="Q11" s="33">
        <f t="shared" si="2"/>
        <v>393.72480000000002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3354.2</v>
      </c>
      <c r="I12" s="10">
        <v>75</v>
      </c>
      <c r="J12" s="10">
        <v>70</v>
      </c>
      <c r="K12" s="11"/>
      <c r="L12" s="12"/>
      <c r="M12" s="13">
        <f>C12-H12-I12+L12-K12-J12</f>
        <v>1500.8000000000002</v>
      </c>
      <c r="N12" s="14">
        <f t="shared" si="0"/>
        <v>4855</v>
      </c>
      <c r="O12" s="30" t="s">
        <v>47</v>
      </c>
      <c r="P12" s="33">
        <f t="shared" si="1"/>
        <v>150.08000000000001</v>
      </c>
      <c r="Q12" s="33">
        <f t="shared" si="2"/>
        <v>162.08640000000003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3170</v>
      </c>
      <c r="I13" s="10">
        <v>225</v>
      </c>
      <c r="J13" s="10">
        <v>105</v>
      </c>
      <c r="K13" s="21"/>
      <c r="L13" s="12"/>
      <c r="M13" s="13">
        <f>C13-H13-I13+L13-K13-J13</f>
        <v>0</v>
      </c>
      <c r="N13" s="14">
        <f t="shared" si="0"/>
        <v>3170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3354.4</v>
      </c>
      <c r="I14" s="10">
        <v>150</v>
      </c>
      <c r="J14" s="10">
        <v>175</v>
      </c>
      <c r="K14" s="21"/>
      <c r="L14" s="12"/>
      <c r="M14" s="22">
        <f>C14-H14-I14+L14-K14-J14</f>
        <v>320.59999999999991</v>
      </c>
      <c r="N14" s="14">
        <f t="shared" si="0"/>
        <v>3675</v>
      </c>
      <c r="O14" s="36" t="s">
        <v>47</v>
      </c>
      <c r="P14" s="33">
        <f t="shared" si="1"/>
        <v>32.059999999999995</v>
      </c>
      <c r="Q14" s="33">
        <f t="shared" si="2"/>
        <v>34.6248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>
        <v>0</v>
      </c>
      <c r="J15" s="10">
        <v>0</v>
      </c>
      <c r="K15" s="11"/>
      <c r="L15" s="12"/>
      <c r="M15" s="13">
        <f t="shared" si="6"/>
        <v>645.59999999999991</v>
      </c>
      <c r="N15" s="14">
        <f t="shared" si="0"/>
        <v>4000</v>
      </c>
      <c r="O15" s="30" t="s">
        <v>47</v>
      </c>
      <c r="P15" s="33">
        <f t="shared" si="1"/>
        <v>64.559999999999988</v>
      </c>
      <c r="Q15" s="33">
        <f t="shared" si="2"/>
        <v>69.724799999999988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3354.4</v>
      </c>
      <c r="I16" s="10">
        <v>0</v>
      </c>
      <c r="J16" s="10">
        <v>105</v>
      </c>
      <c r="K16" s="21"/>
      <c r="L16" s="12"/>
      <c r="M16" s="13">
        <f>C16-H16-I16+L16-K16-J16</f>
        <v>540.59999999999991</v>
      </c>
      <c r="N16" s="14">
        <f t="shared" si="0"/>
        <v>3895</v>
      </c>
      <c r="O16" s="29" t="s">
        <v>47</v>
      </c>
      <c r="P16" s="33">
        <f t="shared" si="1"/>
        <v>54.059999999999995</v>
      </c>
      <c r="Q16" s="33">
        <f t="shared" si="2"/>
        <v>58.384799999999998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3354.2</v>
      </c>
      <c r="I17" s="10">
        <v>0</v>
      </c>
      <c r="J17" s="10">
        <v>0</v>
      </c>
      <c r="K17" s="21"/>
      <c r="L17" s="19"/>
      <c r="M17" s="13">
        <f t="shared" si="6"/>
        <v>645.80000000000018</v>
      </c>
      <c r="N17" s="14">
        <f t="shared" si="0"/>
        <v>4000</v>
      </c>
      <c r="O17" s="29" t="s">
        <v>47</v>
      </c>
      <c r="P17" s="33">
        <f t="shared" si="1"/>
        <v>64.580000000000027</v>
      </c>
      <c r="Q17" s="33">
        <f t="shared" si="2"/>
        <v>69.746400000000037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3354.4</v>
      </c>
      <c r="I18" s="10">
        <v>375</v>
      </c>
      <c r="J18" s="10">
        <v>105</v>
      </c>
      <c r="K18" s="21"/>
      <c r="L18" s="12"/>
      <c r="M18" s="13">
        <f t="shared" si="6"/>
        <v>165.59999999999991</v>
      </c>
      <c r="N18" s="14">
        <f t="shared" si="0"/>
        <v>3520</v>
      </c>
      <c r="O18" s="29" t="s">
        <v>47</v>
      </c>
      <c r="P18" s="33">
        <f t="shared" si="1"/>
        <v>16.559999999999992</v>
      </c>
      <c r="Q18" s="33">
        <f t="shared" si="2"/>
        <v>17.884799999999991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2376</v>
      </c>
      <c r="I19" s="10">
        <v>0</v>
      </c>
      <c r="J19" s="10">
        <v>0</v>
      </c>
      <c r="K19" s="16">
        <v>908.03</v>
      </c>
      <c r="L19" s="12"/>
      <c r="M19" s="13">
        <f t="shared" si="6"/>
        <v>6715.97</v>
      </c>
      <c r="N19" s="14">
        <f t="shared" si="0"/>
        <v>9091.9700000000012</v>
      </c>
      <c r="O19" s="29" t="s">
        <v>50</v>
      </c>
      <c r="P19" s="33">
        <f t="shared" si="1"/>
        <v>671.59700000000009</v>
      </c>
      <c r="Q19" s="33">
        <f t="shared" si="2"/>
        <v>725.3247600000002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3354.4</v>
      </c>
      <c r="I20" s="10">
        <v>375</v>
      </c>
      <c r="J20" s="10">
        <v>175</v>
      </c>
      <c r="K20" s="11"/>
      <c r="L20" s="19"/>
      <c r="M20" s="13">
        <f t="shared" si="6"/>
        <v>4095.6000000000004</v>
      </c>
      <c r="N20" s="14">
        <f t="shared" si="0"/>
        <v>7450</v>
      </c>
      <c r="O20" s="29" t="s">
        <v>47</v>
      </c>
      <c r="P20" s="33">
        <f t="shared" si="1"/>
        <v>409.56000000000006</v>
      </c>
      <c r="Q20" s="33">
        <f t="shared" si="2"/>
        <v>442.3248000000001</v>
      </c>
    </row>
    <row r="21" spans="1:17" s="55" customFormat="1" x14ac:dyDescent="0.25">
      <c r="A21" s="42">
        <v>199</v>
      </c>
      <c r="B21" s="43" t="s">
        <v>31</v>
      </c>
      <c r="C21" s="44">
        <v>4000</v>
      </c>
      <c r="D21" s="44">
        <v>419.88</v>
      </c>
      <c r="E21" s="45">
        <f t="shared" si="3"/>
        <v>2519.2799999999997</v>
      </c>
      <c r="F21" s="45">
        <f t="shared" si="4"/>
        <v>419.88</v>
      </c>
      <c r="G21" s="46">
        <f t="shared" si="5"/>
        <v>2939.16</v>
      </c>
      <c r="H21" s="47">
        <v>3354.2</v>
      </c>
      <c r="I21" s="48">
        <v>0</v>
      </c>
      <c r="J21" s="48">
        <v>0</v>
      </c>
      <c r="K21" s="49">
        <v>500</v>
      </c>
      <c r="L21" s="50"/>
      <c r="M21" s="51">
        <f>C21-H21-I21+L21-K21-J21</f>
        <v>145.80000000000018</v>
      </c>
      <c r="N21" s="52">
        <f t="shared" si="0"/>
        <v>3500</v>
      </c>
      <c r="O21" s="53" t="s">
        <v>47</v>
      </c>
      <c r="P21" s="54">
        <f t="shared" si="1"/>
        <v>14.58000000000002</v>
      </c>
      <c r="Q21" s="54">
        <f t="shared" si="2"/>
        <v>15.746400000000023</v>
      </c>
    </row>
    <row r="22" spans="1:17" s="55" customFormat="1" ht="13.5" customHeight="1" x14ac:dyDescent="0.25">
      <c r="A22" s="5">
        <v>204</v>
      </c>
      <c r="B22" s="6" t="s">
        <v>33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3354.2</v>
      </c>
      <c r="I22" s="10">
        <v>225</v>
      </c>
      <c r="J22" s="10">
        <v>105</v>
      </c>
      <c r="K22" s="11"/>
      <c r="L22" s="19"/>
      <c r="M22" s="13">
        <f t="shared" si="6"/>
        <v>315.80000000000018</v>
      </c>
      <c r="N22" s="14">
        <f t="shared" si="0"/>
        <v>3670</v>
      </c>
      <c r="O22" s="29" t="s">
        <v>47</v>
      </c>
      <c r="P22" s="33">
        <f t="shared" si="1"/>
        <v>31.58000000000002</v>
      </c>
      <c r="Q22" s="33">
        <f t="shared" si="2"/>
        <v>34.106400000000022</v>
      </c>
    </row>
    <row r="23" spans="1:17" s="55" customFormat="1" x14ac:dyDescent="0.25">
      <c r="A23" s="5">
        <v>213</v>
      </c>
      <c r="B23" s="6" t="s">
        <v>34</v>
      </c>
      <c r="C23" s="7">
        <v>4000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3354.4</v>
      </c>
      <c r="I23" s="10">
        <v>0</v>
      </c>
      <c r="J23" s="10">
        <v>0</v>
      </c>
      <c r="K23" s="11"/>
      <c r="L23" s="19"/>
      <c r="M23" s="13">
        <f t="shared" si="6"/>
        <v>645.59999999999991</v>
      </c>
      <c r="N23" s="14">
        <f t="shared" si="0"/>
        <v>4000</v>
      </c>
      <c r="O23" s="29" t="s">
        <v>50</v>
      </c>
      <c r="P23" s="33">
        <f t="shared" si="1"/>
        <v>64.559999999999988</v>
      </c>
      <c r="Q23" s="33">
        <f t="shared" si="2"/>
        <v>69.724799999999988</v>
      </c>
    </row>
    <row r="24" spans="1:17" s="55" customFormat="1" x14ac:dyDescent="0.25">
      <c r="A24" s="5">
        <v>215</v>
      </c>
      <c r="B24" s="6" t="s">
        <v>35</v>
      </c>
      <c r="C24" s="7">
        <v>5000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3120.4</v>
      </c>
      <c r="I24" s="10">
        <v>150</v>
      </c>
      <c r="J24" s="10">
        <v>70</v>
      </c>
      <c r="K24" s="21">
        <v>293.92</v>
      </c>
      <c r="L24" s="19"/>
      <c r="M24" s="13">
        <f t="shared" si="6"/>
        <v>1365.6799999999998</v>
      </c>
      <c r="N24" s="14">
        <f t="shared" si="0"/>
        <v>4486.08</v>
      </c>
      <c r="O24" s="29" t="s">
        <v>47</v>
      </c>
      <c r="P24" s="33">
        <f t="shared" si="1"/>
        <v>136.56799999999998</v>
      </c>
      <c r="Q24" s="33">
        <f t="shared" si="2"/>
        <v>147.49343999999999</v>
      </c>
    </row>
    <row r="25" spans="1:17" s="55" customFormat="1" x14ac:dyDescent="0.25">
      <c r="A25" s="5">
        <v>218</v>
      </c>
      <c r="B25" s="6" t="s">
        <v>36</v>
      </c>
      <c r="C25" s="7">
        <v>3500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7">
        <v>3354.4</v>
      </c>
      <c r="I25" s="10">
        <v>0</v>
      </c>
      <c r="J25" s="10">
        <v>0</v>
      </c>
      <c r="K25" s="21"/>
      <c r="L25" s="12"/>
      <c r="M25" s="13">
        <f t="shared" si="6"/>
        <v>145.59999999999991</v>
      </c>
      <c r="N25" s="14">
        <f t="shared" si="0"/>
        <v>3500</v>
      </c>
      <c r="O25" s="29" t="s">
        <v>49</v>
      </c>
      <c r="P25" s="33">
        <f t="shared" si="1"/>
        <v>14.559999999999992</v>
      </c>
      <c r="Q25" s="33">
        <f t="shared" si="2"/>
        <v>15.724799999999991</v>
      </c>
    </row>
    <row r="26" spans="1:17" s="55" customFormat="1" x14ac:dyDescent="0.25">
      <c r="A26" s="36">
        <v>220</v>
      </c>
      <c r="B26" s="6" t="s">
        <v>37</v>
      </c>
      <c r="C26" s="7">
        <v>4000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8">
        <v>3354.2</v>
      </c>
      <c r="I26" s="10">
        <v>375</v>
      </c>
      <c r="J26" s="10">
        <v>140</v>
      </c>
      <c r="K26" s="21"/>
      <c r="L26" s="12"/>
      <c r="M26" s="13">
        <f t="shared" si="6"/>
        <v>130.80000000000018</v>
      </c>
      <c r="N26" s="14">
        <f t="shared" si="0"/>
        <v>3485</v>
      </c>
      <c r="O26" s="36" t="s">
        <v>47</v>
      </c>
      <c r="P26" s="33">
        <f t="shared" si="1"/>
        <v>13.08000000000002</v>
      </c>
      <c r="Q26" s="33">
        <f t="shared" si="2"/>
        <v>14.126400000000022</v>
      </c>
    </row>
    <row r="27" spans="1:17" s="55" customFormat="1" x14ac:dyDescent="0.25">
      <c r="A27" s="5">
        <v>221</v>
      </c>
      <c r="B27" s="6" t="s">
        <v>38</v>
      </c>
      <c r="C27" s="7">
        <v>5000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3354.4</v>
      </c>
      <c r="I27" s="10">
        <v>375</v>
      </c>
      <c r="J27" s="10">
        <v>175</v>
      </c>
      <c r="K27" s="21"/>
      <c r="L27" s="12"/>
      <c r="M27" s="13">
        <f t="shared" si="6"/>
        <v>1095.5999999999999</v>
      </c>
      <c r="N27" s="14">
        <f t="shared" si="0"/>
        <v>4450</v>
      </c>
      <c r="O27" s="29" t="s">
        <v>47</v>
      </c>
      <c r="P27" s="33">
        <f t="shared" si="1"/>
        <v>109.56</v>
      </c>
      <c r="Q27" s="33">
        <f t="shared" si="2"/>
        <v>118.32480000000001</v>
      </c>
    </row>
    <row r="28" spans="1:17" s="55" customFormat="1" x14ac:dyDescent="0.25">
      <c r="A28" s="5">
        <v>222</v>
      </c>
      <c r="B28" s="6" t="s">
        <v>39</v>
      </c>
      <c r="C28" s="7">
        <v>8000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3354.4</v>
      </c>
      <c r="I28" s="10">
        <v>375</v>
      </c>
      <c r="J28" s="10">
        <v>140</v>
      </c>
      <c r="K28" s="21"/>
      <c r="L28" s="19"/>
      <c r="M28" s="13">
        <f t="shared" si="6"/>
        <v>4130.6000000000004</v>
      </c>
      <c r="N28" s="14">
        <f t="shared" si="0"/>
        <v>7485</v>
      </c>
      <c r="O28" s="29" t="s">
        <v>47</v>
      </c>
      <c r="P28" s="33">
        <f t="shared" si="1"/>
        <v>413.06000000000006</v>
      </c>
      <c r="Q28" s="33">
        <f t="shared" si="2"/>
        <v>446.10480000000007</v>
      </c>
    </row>
    <row r="29" spans="1:17" s="55" customFormat="1" x14ac:dyDescent="0.25">
      <c r="A29" s="5">
        <v>226</v>
      </c>
      <c r="B29" s="6" t="s">
        <v>40</v>
      </c>
      <c r="C29" s="7">
        <v>7500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3354.2</v>
      </c>
      <c r="I29" s="10">
        <v>0</v>
      </c>
      <c r="J29" s="10">
        <v>35</v>
      </c>
      <c r="K29" s="21"/>
      <c r="L29" s="12"/>
      <c r="M29" s="13">
        <f t="shared" si="6"/>
        <v>4110.8</v>
      </c>
      <c r="N29" s="14">
        <f t="shared" si="0"/>
        <v>7465</v>
      </c>
      <c r="O29" s="29" t="s">
        <v>47</v>
      </c>
      <c r="P29" s="33">
        <f t="shared" si="1"/>
        <v>411.08000000000004</v>
      </c>
      <c r="Q29" s="33">
        <f t="shared" si="2"/>
        <v>443.96640000000008</v>
      </c>
    </row>
    <row r="30" spans="1:17" s="55" customFormat="1" x14ac:dyDescent="0.25">
      <c r="A30" s="5">
        <v>227</v>
      </c>
      <c r="B30" s="6" t="s">
        <v>41</v>
      </c>
      <c r="C30" s="7">
        <v>6000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2879.2</v>
      </c>
      <c r="I30" s="10">
        <v>450</v>
      </c>
      <c r="J30" s="10">
        <v>175</v>
      </c>
      <c r="K30" s="21">
        <v>587.84</v>
      </c>
      <c r="L30" s="12"/>
      <c r="M30" s="13">
        <f t="shared" si="6"/>
        <v>1907.96</v>
      </c>
      <c r="N30" s="14">
        <f t="shared" si="0"/>
        <v>4787.16</v>
      </c>
      <c r="O30" s="29" t="s">
        <v>47</v>
      </c>
      <c r="P30" s="33">
        <f t="shared" si="1"/>
        <v>190.79600000000002</v>
      </c>
      <c r="Q30" s="33">
        <f t="shared" si="2"/>
        <v>206.05968000000004</v>
      </c>
    </row>
    <row r="31" spans="1:17" s="55" customFormat="1" x14ac:dyDescent="0.25">
      <c r="A31" s="5">
        <v>233</v>
      </c>
      <c r="B31" s="6" t="s">
        <v>42</v>
      </c>
      <c r="C31" s="7">
        <v>6250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3432.2</v>
      </c>
      <c r="I31" s="10">
        <v>375</v>
      </c>
      <c r="J31" s="10">
        <v>105</v>
      </c>
      <c r="K31" s="21"/>
      <c r="L31" s="12">
        <v>446.43</v>
      </c>
      <c r="M31" s="13">
        <f t="shared" si="6"/>
        <v>2784.23</v>
      </c>
      <c r="N31" s="14">
        <f t="shared" si="0"/>
        <v>6216.43</v>
      </c>
      <c r="O31" s="31" t="s">
        <v>47</v>
      </c>
      <c r="P31" s="33">
        <f t="shared" si="1"/>
        <v>278.423</v>
      </c>
      <c r="Q31" s="33">
        <f t="shared" si="2"/>
        <v>300.69684000000001</v>
      </c>
    </row>
    <row r="32" spans="1:17" s="55" customFormat="1" x14ac:dyDescent="0.25">
      <c r="A32" s="5">
        <v>237</v>
      </c>
      <c r="B32" s="6" t="s">
        <v>43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300</v>
      </c>
      <c r="J32" s="10">
        <v>35</v>
      </c>
      <c r="K32" s="11"/>
      <c r="L32" s="19"/>
      <c r="M32" s="13">
        <f>C32-H32-I32+L32-K32-J32</f>
        <v>1310.5999999999999</v>
      </c>
      <c r="N32" s="14">
        <f>H32+M32</f>
        <v>4665</v>
      </c>
      <c r="O32" s="29" t="s">
        <v>47</v>
      </c>
      <c r="P32" s="33">
        <f>+M32*0.1</f>
        <v>131.06</v>
      </c>
      <c r="Q32" s="33">
        <f t="shared" si="2"/>
        <v>141.54480000000001</v>
      </c>
    </row>
    <row r="33" spans="1:17" s="55" customFormat="1" x14ac:dyDescent="0.25">
      <c r="A33" s="5">
        <v>244</v>
      </c>
      <c r="B33" s="6" t="s">
        <v>44</v>
      </c>
      <c r="C33" s="7">
        <v>5000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3354.4</v>
      </c>
      <c r="I33" s="10">
        <v>300</v>
      </c>
      <c r="J33" s="10">
        <v>70</v>
      </c>
      <c r="K33" s="21"/>
      <c r="L33" s="12"/>
      <c r="M33" s="13">
        <f>C33-H33-I33+L33-K33-J33</f>
        <v>1275.5999999999999</v>
      </c>
      <c r="N33" s="14">
        <f t="shared" si="0"/>
        <v>4630</v>
      </c>
      <c r="O33" s="29" t="s">
        <v>47</v>
      </c>
      <c r="P33" s="33">
        <f t="shared" si="1"/>
        <v>127.56</v>
      </c>
      <c r="Q33" s="33">
        <f t="shared" si="2"/>
        <v>137.76480000000001</v>
      </c>
    </row>
    <row r="34" spans="1:17" s="55" customFormat="1" x14ac:dyDescent="0.25">
      <c r="A34" s="5">
        <v>245</v>
      </c>
      <c r="B34" s="6" t="s">
        <v>45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3354.2</v>
      </c>
      <c r="I34" s="10">
        <v>150</v>
      </c>
      <c r="J34" s="10">
        <v>0</v>
      </c>
      <c r="K34" s="11"/>
      <c r="L34" s="12"/>
      <c r="M34" s="13">
        <f t="shared" si="6"/>
        <v>1495.8000000000002</v>
      </c>
      <c r="N34" s="14">
        <f t="shared" si="0"/>
        <v>4850</v>
      </c>
      <c r="O34" s="34">
        <v>2</v>
      </c>
      <c r="P34" s="33">
        <f t="shared" si="1"/>
        <v>149.58000000000001</v>
      </c>
      <c r="Q34" s="33">
        <f t="shared" si="2"/>
        <v>161.54640000000003</v>
      </c>
    </row>
    <row r="35" spans="1:17" s="55" customFormat="1" x14ac:dyDescent="0.25">
      <c r="A35" s="5">
        <v>252</v>
      </c>
      <c r="B35" s="6" t="s">
        <v>53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3354.4</v>
      </c>
      <c r="I35" s="10">
        <v>150</v>
      </c>
      <c r="J35" s="10">
        <v>140</v>
      </c>
      <c r="K35" s="21"/>
      <c r="L35" s="19"/>
      <c r="M35" s="13">
        <f t="shared" si="6"/>
        <v>355.59999999999991</v>
      </c>
      <c r="N35" s="14">
        <f t="shared" si="0"/>
        <v>3710</v>
      </c>
      <c r="O35" s="5" t="s">
        <v>47</v>
      </c>
      <c r="P35" s="33">
        <f t="shared" si="1"/>
        <v>35.559999999999995</v>
      </c>
      <c r="Q35" s="33">
        <f t="shared" si="2"/>
        <v>38.404799999999994</v>
      </c>
    </row>
    <row r="36" spans="1:17" s="55" customFormat="1" x14ac:dyDescent="0.25">
      <c r="A36" s="5">
        <v>260</v>
      </c>
      <c r="B36" s="6" t="s">
        <v>54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3354.4</v>
      </c>
      <c r="I36" s="10">
        <v>0</v>
      </c>
      <c r="J36" s="10">
        <v>0</v>
      </c>
      <c r="K36" s="11"/>
      <c r="L36" s="19"/>
      <c r="M36" s="13">
        <f t="shared" si="6"/>
        <v>1645.6</v>
      </c>
      <c r="N36" s="14">
        <f t="shared" si="0"/>
        <v>5000</v>
      </c>
      <c r="O36" s="5" t="s">
        <v>47</v>
      </c>
      <c r="P36" s="33">
        <f t="shared" si="1"/>
        <v>164.56</v>
      </c>
      <c r="Q36" s="33">
        <f t="shared" si="2"/>
        <v>177.72480000000002</v>
      </c>
    </row>
    <row r="37" spans="1:17" s="55" customFormat="1" x14ac:dyDescent="0.25">
      <c r="A37" s="5">
        <v>261</v>
      </c>
      <c r="B37" s="6" t="s">
        <v>55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2370.8000000000002</v>
      </c>
      <c r="I37" s="10">
        <v>225</v>
      </c>
      <c r="J37" s="10">
        <v>105</v>
      </c>
      <c r="K37" s="16">
        <v>913.35</v>
      </c>
      <c r="L37" s="19"/>
      <c r="M37" s="13">
        <f t="shared" si="6"/>
        <v>385.8499999999998</v>
      </c>
      <c r="N37" s="14">
        <f t="shared" si="0"/>
        <v>2756.65</v>
      </c>
      <c r="O37" s="5" t="s">
        <v>47</v>
      </c>
      <c r="P37" s="33">
        <f t="shared" si="1"/>
        <v>38.58499999999998</v>
      </c>
      <c r="Q37" s="33">
        <f t="shared" si="2"/>
        <v>41.671799999999983</v>
      </c>
    </row>
    <row r="38" spans="1:17" s="55" customFormat="1" x14ac:dyDescent="0.25">
      <c r="A38" s="5">
        <v>267</v>
      </c>
      <c r="B38" s="6" t="s">
        <v>56</v>
      </c>
      <c r="C38" s="7">
        <v>5000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2848.6</v>
      </c>
      <c r="I38" s="10">
        <v>150</v>
      </c>
      <c r="J38" s="10">
        <v>140</v>
      </c>
      <c r="K38" s="16">
        <v>435.88</v>
      </c>
      <c r="L38" s="12"/>
      <c r="M38" s="13">
        <f t="shared" si="6"/>
        <v>1425.52</v>
      </c>
      <c r="N38" s="14">
        <f t="shared" si="0"/>
        <v>4274.12</v>
      </c>
      <c r="O38" s="5" t="s">
        <v>47</v>
      </c>
      <c r="P38" s="33">
        <f t="shared" si="1"/>
        <v>142.55199999999999</v>
      </c>
      <c r="Q38" s="33">
        <f t="shared" si="2"/>
        <v>153.95616000000001</v>
      </c>
    </row>
    <row r="39" spans="1:17" s="55" customFormat="1" x14ac:dyDescent="0.25">
      <c r="A39" s="5">
        <v>268</v>
      </c>
      <c r="B39" s="6" t="s">
        <v>57</v>
      </c>
      <c r="C39" s="7">
        <v>4000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3354.4</v>
      </c>
      <c r="I39" s="10">
        <v>75</v>
      </c>
      <c r="J39" s="10">
        <v>0</v>
      </c>
      <c r="K39" s="11"/>
      <c r="L39" s="19"/>
      <c r="M39" s="13">
        <f t="shared" si="6"/>
        <v>570.59999999999991</v>
      </c>
      <c r="N39" s="14">
        <f t="shared" si="0"/>
        <v>3925</v>
      </c>
      <c r="O39" s="5" t="s">
        <v>47</v>
      </c>
      <c r="P39" s="33">
        <f t="shared" si="1"/>
        <v>57.059999999999995</v>
      </c>
      <c r="Q39" s="33">
        <f t="shared" si="2"/>
        <v>61.6248</v>
      </c>
    </row>
    <row r="40" spans="1:17" s="55" customFormat="1" x14ac:dyDescent="0.25">
      <c r="A40" s="5">
        <v>269</v>
      </c>
      <c r="B40" s="6" t="s">
        <v>58</v>
      </c>
      <c r="C40" s="7">
        <v>7000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3120.2</v>
      </c>
      <c r="I40" s="10">
        <v>300</v>
      </c>
      <c r="J40" s="10">
        <v>105</v>
      </c>
      <c r="K40" s="21">
        <v>293.92</v>
      </c>
      <c r="L40" s="19"/>
      <c r="M40" s="13">
        <f t="shared" si="6"/>
        <v>3180.88</v>
      </c>
      <c r="N40" s="14">
        <f t="shared" si="0"/>
        <v>6301.08</v>
      </c>
      <c r="O40" s="5" t="s">
        <v>47</v>
      </c>
      <c r="P40" s="33">
        <f t="shared" si="1"/>
        <v>318.08800000000002</v>
      </c>
      <c r="Q40" s="33">
        <f t="shared" si="2"/>
        <v>343.53504000000004</v>
      </c>
    </row>
    <row r="41" spans="1:17" s="55" customFormat="1" x14ac:dyDescent="0.25">
      <c r="A41" s="5">
        <v>271</v>
      </c>
      <c r="B41" s="6" t="s">
        <v>59</v>
      </c>
      <c r="C41" s="7">
        <v>3500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3200</v>
      </c>
      <c r="I41" s="10">
        <v>300</v>
      </c>
      <c r="J41" s="10">
        <v>0</v>
      </c>
      <c r="K41" s="21"/>
      <c r="L41" s="19"/>
      <c r="M41" s="22">
        <f>C41-H41-I41+L41-K41-J41</f>
        <v>0</v>
      </c>
      <c r="N41" s="14">
        <f t="shared" si="0"/>
        <v>3200</v>
      </c>
      <c r="O41" s="5" t="s">
        <v>47</v>
      </c>
      <c r="P41" s="33">
        <f t="shared" si="1"/>
        <v>0</v>
      </c>
      <c r="Q41" s="33">
        <f t="shared" si="2"/>
        <v>0</v>
      </c>
    </row>
    <row r="42" spans="1:17" s="55" customFormat="1" x14ac:dyDescent="0.25">
      <c r="A42" s="5">
        <v>275</v>
      </c>
      <c r="B42" s="6" t="s">
        <v>60</v>
      </c>
      <c r="C42" s="7">
        <v>3375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2787.2</v>
      </c>
      <c r="I42" s="10">
        <v>0</v>
      </c>
      <c r="J42" s="10">
        <v>0</v>
      </c>
      <c r="K42" s="21">
        <v>587.84</v>
      </c>
      <c r="L42" s="19"/>
      <c r="M42" s="84">
        <f>C42-H42-I42+L42-K42-J42+0.04</f>
        <v>1.5006745845980163E-13</v>
      </c>
      <c r="N42" s="14">
        <f t="shared" si="0"/>
        <v>2787.2</v>
      </c>
      <c r="O42" s="5" t="s">
        <v>47</v>
      </c>
      <c r="P42" s="33">
        <f t="shared" si="1"/>
        <v>1.5006745845980165E-14</v>
      </c>
      <c r="Q42" s="33">
        <f t="shared" si="2"/>
        <v>1.6207285513658578E-14</v>
      </c>
    </row>
    <row r="43" spans="1:17" s="55" customFormat="1" x14ac:dyDescent="0.25">
      <c r="A43" s="5">
        <v>276</v>
      </c>
      <c r="B43" s="6" t="s">
        <v>61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3354.2</v>
      </c>
      <c r="I43" s="10">
        <v>375</v>
      </c>
      <c r="J43" s="10">
        <v>105</v>
      </c>
      <c r="K43" s="11"/>
      <c r="L43" s="19"/>
      <c r="M43" s="13">
        <f t="shared" si="6"/>
        <v>1165.8000000000002</v>
      </c>
      <c r="N43" s="14">
        <f t="shared" si="0"/>
        <v>4520</v>
      </c>
      <c r="O43" s="5" t="s">
        <v>47</v>
      </c>
      <c r="P43" s="33">
        <f t="shared" si="1"/>
        <v>116.58000000000003</v>
      </c>
      <c r="Q43" s="33">
        <f t="shared" si="2"/>
        <v>125.90640000000003</v>
      </c>
    </row>
    <row r="44" spans="1:17" s="55" customFormat="1" x14ac:dyDescent="0.25">
      <c r="A44" s="5">
        <v>279</v>
      </c>
      <c r="B44" s="6" t="s">
        <v>63</v>
      </c>
      <c r="C44" s="7">
        <v>3500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3101.2</v>
      </c>
      <c r="I44" s="10">
        <v>0</v>
      </c>
      <c r="J44" s="10">
        <v>105</v>
      </c>
      <c r="K44" s="21">
        <v>293.92</v>
      </c>
      <c r="L44" s="19"/>
      <c r="M44" s="84">
        <f>C44-H44-I44+L44-K44-J44+0.12</f>
        <v>1.659783421814609E-13</v>
      </c>
      <c r="N44" s="14">
        <f t="shared" si="0"/>
        <v>3101.2</v>
      </c>
      <c r="O44" s="5" t="s">
        <v>47</v>
      </c>
      <c r="P44" s="33">
        <f t="shared" si="1"/>
        <v>1.659783421814609E-14</v>
      </c>
      <c r="Q44" s="33">
        <f t="shared" si="2"/>
        <v>1.7925660955597778E-14</v>
      </c>
    </row>
    <row r="45" spans="1:17" s="55" customFormat="1" x14ac:dyDescent="0.25">
      <c r="A45" s="5">
        <v>280</v>
      </c>
      <c r="B45" s="6" t="s">
        <v>64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3354.4</v>
      </c>
      <c r="I45" s="10">
        <v>0</v>
      </c>
      <c r="J45" s="10">
        <v>0</v>
      </c>
      <c r="K45" s="11"/>
      <c r="L45" s="19"/>
      <c r="M45" s="13">
        <f t="shared" si="6"/>
        <v>1645.6</v>
      </c>
      <c r="N45" s="14">
        <f t="shared" si="0"/>
        <v>5000</v>
      </c>
      <c r="O45" s="5" t="s">
        <v>47</v>
      </c>
      <c r="P45" s="33">
        <f t="shared" si="1"/>
        <v>164.56</v>
      </c>
      <c r="Q45" s="33">
        <f t="shared" si="2"/>
        <v>177.72480000000002</v>
      </c>
    </row>
    <row r="46" spans="1:17" s="55" customFormat="1" x14ac:dyDescent="0.25">
      <c r="A46" s="5">
        <v>281</v>
      </c>
      <c r="B46" s="6" t="s">
        <v>65</v>
      </c>
      <c r="C46" s="7">
        <v>8750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3354.2</v>
      </c>
      <c r="I46" s="10">
        <v>0</v>
      </c>
      <c r="J46" s="10">
        <v>0</v>
      </c>
      <c r="K46" s="11"/>
      <c r="L46" s="19"/>
      <c r="M46" s="13">
        <f t="shared" si="6"/>
        <v>5395.8</v>
      </c>
      <c r="N46" s="14">
        <f t="shared" si="0"/>
        <v>8750</v>
      </c>
      <c r="O46" s="5" t="s">
        <v>47</v>
      </c>
      <c r="P46" s="33">
        <f t="shared" si="1"/>
        <v>539.58000000000004</v>
      </c>
      <c r="Q46" s="33">
        <f t="shared" si="2"/>
        <v>582.74640000000011</v>
      </c>
    </row>
    <row r="47" spans="1:17" s="55" customFormat="1" x14ac:dyDescent="0.25">
      <c r="A47" s="5">
        <v>283</v>
      </c>
      <c r="B47" s="6" t="s">
        <v>66</v>
      </c>
      <c r="C47" s="7">
        <v>5000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3432.2</v>
      </c>
      <c r="I47" s="10">
        <v>0</v>
      </c>
      <c r="J47" s="10">
        <v>140</v>
      </c>
      <c r="K47" s="11"/>
      <c r="L47" s="12">
        <v>357.14</v>
      </c>
      <c r="M47" s="13">
        <f t="shared" si="6"/>
        <v>1784.94</v>
      </c>
      <c r="N47" s="14">
        <f t="shared" si="0"/>
        <v>5217.1399999999994</v>
      </c>
      <c r="O47" s="5" t="s">
        <v>47</v>
      </c>
      <c r="P47" s="33">
        <f t="shared" si="1"/>
        <v>178.49400000000003</v>
      </c>
      <c r="Q47" s="33">
        <f t="shared" si="2"/>
        <v>192.77352000000005</v>
      </c>
    </row>
    <row r="48" spans="1:17" x14ac:dyDescent="0.25">
      <c r="A48" s="5">
        <v>284</v>
      </c>
      <c r="B48" s="6" t="s">
        <v>67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3354.2</v>
      </c>
      <c r="I48" s="10">
        <v>0</v>
      </c>
      <c r="J48" s="10">
        <v>0</v>
      </c>
      <c r="K48" s="11"/>
      <c r="L48" s="19"/>
      <c r="M48" s="13">
        <f t="shared" si="6"/>
        <v>645.80000000000018</v>
      </c>
      <c r="N48" s="14">
        <f t="shared" si="0"/>
        <v>4000</v>
      </c>
      <c r="O48" s="5" t="s">
        <v>47</v>
      </c>
      <c r="P48" s="33">
        <f t="shared" si="1"/>
        <v>64.580000000000027</v>
      </c>
      <c r="Q48" s="33">
        <f t="shared" si="2"/>
        <v>69.746400000000037</v>
      </c>
    </row>
    <row r="49" spans="1:18" x14ac:dyDescent="0.25">
      <c r="A49" s="5">
        <v>285</v>
      </c>
      <c r="B49" s="6" t="s">
        <v>68</v>
      </c>
      <c r="C49" s="7">
        <v>4000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3393.2</v>
      </c>
      <c r="I49" s="10">
        <v>0</v>
      </c>
      <c r="J49" s="10">
        <v>0</v>
      </c>
      <c r="K49" s="11"/>
      <c r="L49" s="12">
        <v>142.86000000000001</v>
      </c>
      <c r="M49" s="13">
        <f t="shared" si="6"/>
        <v>749.6600000000002</v>
      </c>
      <c r="N49" s="14">
        <f t="shared" si="0"/>
        <v>4142.8599999999997</v>
      </c>
      <c r="O49" s="5" t="s">
        <v>47</v>
      </c>
      <c r="P49" s="33">
        <f t="shared" si="1"/>
        <v>74.966000000000022</v>
      </c>
      <c r="Q49" s="33">
        <f t="shared" si="2"/>
        <v>80.963280000000026</v>
      </c>
    </row>
    <row r="50" spans="1:18" x14ac:dyDescent="0.25">
      <c r="A50" s="5">
        <v>286</v>
      </c>
      <c r="B50" s="6" t="s">
        <v>69</v>
      </c>
      <c r="C50" s="7">
        <v>4000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3354.4</v>
      </c>
      <c r="I50" s="10">
        <v>375</v>
      </c>
      <c r="J50" s="10">
        <v>0</v>
      </c>
      <c r="K50" s="11"/>
      <c r="L50" s="19"/>
      <c r="M50" s="13">
        <f t="shared" si="6"/>
        <v>270.59999999999991</v>
      </c>
      <c r="N50" s="14">
        <f t="shared" si="0"/>
        <v>3625</v>
      </c>
      <c r="O50" s="5" t="s">
        <v>47</v>
      </c>
      <c r="P50" s="33">
        <f t="shared" si="1"/>
        <v>27.059999999999992</v>
      </c>
      <c r="Q50" s="33">
        <f t="shared" si="2"/>
        <v>29.224799999999991</v>
      </c>
    </row>
    <row r="51" spans="1:18" x14ac:dyDescent="0.25">
      <c r="A51" s="5">
        <v>287</v>
      </c>
      <c r="B51" s="6" t="s">
        <v>72</v>
      </c>
      <c r="C51" s="7">
        <v>5000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3354.2</v>
      </c>
      <c r="I51" s="10">
        <v>375</v>
      </c>
      <c r="J51" s="10">
        <v>105</v>
      </c>
      <c r="K51" s="11"/>
      <c r="L51" s="19"/>
      <c r="M51" s="13">
        <f t="shared" si="6"/>
        <v>1165.8000000000002</v>
      </c>
      <c r="N51" s="14">
        <f t="shared" si="0"/>
        <v>4520</v>
      </c>
      <c r="O51" s="5" t="s">
        <v>47</v>
      </c>
      <c r="P51" s="33">
        <f t="shared" si="1"/>
        <v>116.58000000000003</v>
      </c>
      <c r="Q51" s="33">
        <f t="shared" si="2"/>
        <v>125.90640000000003</v>
      </c>
    </row>
    <row r="52" spans="1:18" x14ac:dyDescent="0.25">
      <c r="A52" s="5">
        <v>288</v>
      </c>
      <c r="B52" s="6" t="s">
        <v>73</v>
      </c>
      <c r="C52" s="7">
        <v>3500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3354.2</v>
      </c>
      <c r="I52" s="10">
        <v>0</v>
      </c>
      <c r="J52" s="10">
        <v>0</v>
      </c>
      <c r="K52" s="11"/>
      <c r="L52" s="19"/>
      <c r="M52" s="13">
        <f t="shared" si="6"/>
        <v>145.80000000000018</v>
      </c>
      <c r="N52" s="14">
        <f t="shared" si="0"/>
        <v>3500</v>
      </c>
      <c r="O52" s="5" t="s">
        <v>47</v>
      </c>
      <c r="P52" s="33">
        <f t="shared" si="1"/>
        <v>14.58000000000002</v>
      </c>
      <c r="Q52" s="33">
        <f t="shared" si="2"/>
        <v>15.746400000000023</v>
      </c>
    </row>
    <row r="53" spans="1:18" x14ac:dyDescent="0.25">
      <c r="A53" s="5">
        <v>289</v>
      </c>
      <c r="B53" s="6" t="s">
        <v>74</v>
      </c>
      <c r="C53" s="7">
        <v>3500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3354.2</v>
      </c>
      <c r="I53" s="10">
        <v>0</v>
      </c>
      <c r="J53" s="10">
        <v>0</v>
      </c>
      <c r="K53" s="11"/>
      <c r="L53" s="19"/>
      <c r="M53" s="13">
        <f t="shared" si="6"/>
        <v>145.80000000000018</v>
      </c>
      <c r="N53" s="14">
        <f t="shared" si="0"/>
        <v>3500</v>
      </c>
      <c r="O53" s="5" t="s">
        <v>47</v>
      </c>
      <c r="P53" s="33">
        <f t="shared" si="1"/>
        <v>14.58000000000002</v>
      </c>
      <c r="Q53" s="33">
        <f t="shared" si="2"/>
        <v>15.746400000000023</v>
      </c>
    </row>
    <row r="54" spans="1:18" x14ac:dyDescent="0.25">
      <c r="A54" s="42">
        <v>290</v>
      </c>
      <c r="B54" s="43" t="s">
        <v>75</v>
      </c>
      <c r="C54" s="44">
        <v>6250</v>
      </c>
      <c r="D54" s="44">
        <v>419.88</v>
      </c>
      <c r="E54" s="45">
        <f t="shared" si="3"/>
        <v>2519.2799999999997</v>
      </c>
      <c r="F54" s="45">
        <f t="shared" si="4"/>
        <v>419.88</v>
      </c>
      <c r="G54" s="46">
        <f t="shared" si="5"/>
        <v>2939.16</v>
      </c>
      <c r="H54" s="47">
        <v>3354.4</v>
      </c>
      <c r="I54" s="48">
        <v>0</v>
      </c>
      <c r="J54" s="48">
        <v>0</v>
      </c>
      <c r="K54" s="49"/>
      <c r="L54" s="50"/>
      <c r="M54" s="51">
        <f t="shared" si="6"/>
        <v>2895.6</v>
      </c>
      <c r="N54" s="52">
        <f t="shared" si="0"/>
        <v>6250</v>
      </c>
      <c r="O54" s="42" t="s">
        <v>47</v>
      </c>
      <c r="P54" s="54">
        <f t="shared" si="1"/>
        <v>289.56</v>
      </c>
      <c r="Q54" s="54">
        <f t="shared" si="2"/>
        <v>312.72480000000002</v>
      </c>
    </row>
    <row r="55" spans="1:18" x14ac:dyDescent="0.25">
      <c r="A55" s="5">
        <v>291</v>
      </c>
      <c r="B55" s="6" t="s">
        <v>78</v>
      </c>
      <c r="C55" s="7">
        <v>4250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75</v>
      </c>
      <c r="J55" s="10">
        <v>35</v>
      </c>
      <c r="K55" s="11"/>
      <c r="L55" s="19"/>
      <c r="M55" s="13">
        <f t="shared" si="6"/>
        <v>785.59999999999991</v>
      </c>
      <c r="N55" s="14">
        <f t="shared" si="0"/>
        <v>4140</v>
      </c>
      <c r="O55" s="5" t="s">
        <v>47</v>
      </c>
      <c r="P55" s="33">
        <f t="shared" si="1"/>
        <v>78.56</v>
      </c>
      <c r="Q55" s="33">
        <f t="shared" si="2"/>
        <v>84.844800000000006</v>
      </c>
    </row>
    <row r="56" spans="1:18" x14ac:dyDescent="0.25">
      <c r="A56" s="5">
        <v>293</v>
      </c>
      <c r="B56" s="6" t="s">
        <v>89</v>
      </c>
      <c r="C56" s="7">
        <v>4000</v>
      </c>
      <c r="D56" s="7">
        <v>419.88</v>
      </c>
      <c r="E56" s="8">
        <f>D56*6</f>
        <v>2519.2799999999997</v>
      </c>
      <c r="F56" s="8">
        <f t="shared" si="4"/>
        <v>419.88</v>
      </c>
      <c r="G56" s="9">
        <f>E56+F56</f>
        <v>2939.16</v>
      </c>
      <c r="H56" s="37">
        <v>3432.2</v>
      </c>
      <c r="I56" s="10">
        <v>0</v>
      </c>
      <c r="J56" s="10">
        <v>0</v>
      </c>
      <c r="K56" s="11"/>
      <c r="L56" s="12">
        <v>285.70999999999998</v>
      </c>
      <c r="M56" s="13">
        <f>C56-H56-I56+L56-K56-J56</f>
        <v>853.51000000000022</v>
      </c>
      <c r="N56" s="14">
        <f>H56+M56</f>
        <v>4285.71</v>
      </c>
      <c r="O56" s="5" t="s">
        <v>47</v>
      </c>
      <c r="P56" s="33">
        <f>+M56*0.1</f>
        <v>85.351000000000028</v>
      </c>
      <c r="Q56" s="33">
        <f>+P56*1.08</f>
        <v>92.179080000000042</v>
      </c>
    </row>
    <row r="57" spans="1:18" ht="16.149999999999999" customHeight="1" thickBot="1" x14ac:dyDescent="0.3"/>
    <row r="58" spans="1:18" ht="18" thickBot="1" x14ac:dyDescent="0.35">
      <c r="A58" s="23"/>
      <c r="B58" s="24"/>
      <c r="C58" s="25">
        <f t="shared" ref="C58:N58" si="7">SUM(C4:C57)</f>
        <v>262875</v>
      </c>
      <c r="D58" s="25">
        <f t="shared" si="7"/>
        <v>22253.64</v>
      </c>
      <c r="E58" s="25">
        <f t="shared" si="7"/>
        <v>131002.55999999995</v>
      </c>
      <c r="F58" s="25">
        <f t="shared" si="7"/>
        <v>21833.759999999998</v>
      </c>
      <c r="G58" s="25">
        <f t="shared" si="7"/>
        <v>152836.32000000012</v>
      </c>
      <c r="H58" s="25">
        <f t="shared" si="7"/>
        <v>170580</v>
      </c>
      <c r="I58" s="26">
        <f t="shared" si="7"/>
        <v>8025</v>
      </c>
      <c r="J58" s="26">
        <f t="shared" si="7"/>
        <v>3010</v>
      </c>
      <c r="K58" s="26">
        <f t="shared" si="7"/>
        <v>5072.4400000000005</v>
      </c>
      <c r="L58" s="27">
        <f t="shared" si="7"/>
        <v>2232.13</v>
      </c>
      <c r="M58" s="25">
        <f t="shared" si="7"/>
        <v>78419.85000000002</v>
      </c>
      <c r="N58" s="25">
        <f t="shared" si="7"/>
        <v>248999.84999999995</v>
      </c>
      <c r="P58" s="25">
        <f>SUM(P4:P57)</f>
        <v>7841.9850000000015</v>
      </c>
      <c r="Q58" s="25">
        <f>SUM(Q4:Q57)</f>
        <v>8469.3438000000006</v>
      </c>
      <c r="R58" s="55">
        <f>+N58+Q58</f>
        <v>257469.19379999995</v>
      </c>
    </row>
    <row r="59" spans="1:18" x14ac:dyDescent="0.25">
      <c r="H59" s="15"/>
      <c r="M59" s="15"/>
    </row>
    <row r="60" spans="1:18" x14ac:dyDescent="0.25">
      <c r="H60" s="15"/>
      <c r="I60">
        <f>+I58/75</f>
        <v>107</v>
      </c>
      <c r="J60" s="28">
        <f>SUM(J58)/35</f>
        <v>86</v>
      </c>
      <c r="R60" s="55">
        <v>12886.8</v>
      </c>
    </row>
    <row r="61" spans="1:18" x14ac:dyDescent="0.25">
      <c r="F61" s="15"/>
      <c r="H61" s="15">
        <f>H58+M58</f>
        <v>248999.85000000003</v>
      </c>
      <c r="K61" s="15"/>
    </row>
    <row r="62" spans="1:18" x14ac:dyDescent="0.25">
      <c r="H62" s="15">
        <f>'[1]Nom 9'!$H$53</f>
        <v>131178.05999999994</v>
      </c>
      <c r="I62" s="40"/>
      <c r="J62" s="15"/>
    </row>
    <row r="63" spans="1:18" x14ac:dyDescent="0.25">
      <c r="H63" s="15">
        <f>[2]Rino!$H$8</f>
        <v>75398.810000000012</v>
      </c>
    </row>
    <row r="64" spans="1:18" x14ac:dyDescent="0.25">
      <c r="H64" s="15">
        <f>H62+H63</f>
        <v>206576.86999999994</v>
      </c>
    </row>
  </sheetData>
  <autoFilter ref="A3:Q56" xr:uid="{00000000-0009-0000-0000-00000D000000}"/>
  <mergeCells count="2">
    <mergeCell ref="A1:N1"/>
    <mergeCell ref="A2:N2"/>
  </mergeCells>
  <pageMargins left="0.25" right="0.25" top="0.75" bottom="0.75" header="0.3" footer="0.3"/>
  <pageSetup scale="52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5">
    <pageSetUpPr fitToPage="1"/>
  </sheetPr>
  <dimension ref="A1:R70"/>
  <sheetViews>
    <sheetView showGridLines="0" topLeftCell="A28" zoomScaleNormal="100" workbookViewId="0">
      <selection activeCell="L53" sqref="L53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92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7" si="0">H4+M4</f>
        <v>0</v>
      </c>
      <c r="O4" s="81" t="s">
        <v>48</v>
      </c>
      <c r="P4" s="82">
        <f t="shared" ref="P4:P57" si="1">+M4*0.1</f>
        <v>0</v>
      </c>
      <c r="Q4" s="82">
        <f t="shared" ref="Q4:Q57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7" si="3">D5*6</f>
        <v>2519.2799999999997</v>
      </c>
      <c r="F5" s="8">
        <f t="shared" ref="F5:F57" si="4">$D$4</f>
        <v>419.88</v>
      </c>
      <c r="G5" s="9">
        <f t="shared" ref="G5:G57" si="5">E5+F5</f>
        <v>2939.16</v>
      </c>
      <c r="H5" s="37">
        <v>2903.2</v>
      </c>
      <c r="I5" s="10">
        <v>225</v>
      </c>
      <c r="J5" s="10">
        <v>0</v>
      </c>
      <c r="K5" s="11"/>
      <c r="L5" s="12"/>
      <c r="M5" s="13">
        <f>C5-H5-I5+L5-K5-J5</f>
        <v>871.80000000000018</v>
      </c>
      <c r="N5" s="14">
        <f t="shared" si="0"/>
        <v>3775</v>
      </c>
      <c r="O5" s="29" t="s">
        <v>47</v>
      </c>
      <c r="P5" s="33">
        <f t="shared" si="1"/>
        <v>87.180000000000021</v>
      </c>
      <c r="Q5" s="33">
        <f t="shared" si="2"/>
        <v>94.154400000000024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3354.4</v>
      </c>
      <c r="I6" s="18">
        <v>75</v>
      </c>
      <c r="J6" s="18">
        <v>105</v>
      </c>
      <c r="K6" s="11"/>
      <c r="L6" s="12"/>
      <c r="M6" s="13">
        <f t="shared" ref="M6:M56" si="6">C6-H6-I6+L6-K6-J6</f>
        <v>11465.6</v>
      </c>
      <c r="N6" s="14">
        <f t="shared" si="0"/>
        <v>14820</v>
      </c>
      <c r="O6" s="30" t="s">
        <v>47</v>
      </c>
      <c r="P6" s="33">
        <f t="shared" si="1"/>
        <v>1146.5600000000002</v>
      </c>
      <c r="Q6" s="33">
        <f t="shared" si="2"/>
        <v>1238.2848000000004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3354.4</v>
      </c>
      <c r="I7" s="10">
        <v>225</v>
      </c>
      <c r="J7" s="10">
        <v>70</v>
      </c>
      <c r="K7" s="21"/>
      <c r="L7" s="12"/>
      <c r="M7" s="13">
        <f t="shared" si="6"/>
        <v>350.59999999999991</v>
      </c>
      <c r="N7" s="14">
        <f t="shared" si="0"/>
        <v>3705</v>
      </c>
      <c r="O7" s="36" t="s">
        <v>47</v>
      </c>
      <c r="P7" s="33">
        <f t="shared" si="1"/>
        <v>35.059999999999995</v>
      </c>
      <c r="Q7" s="33">
        <f t="shared" si="2"/>
        <v>37.864799999999995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225</v>
      </c>
      <c r="J8" s="10">
        <v>35</v>
      </c>
      <c r="K8" s="11"/>
      <c r="L8" s="12"/>
      <c r="M8" s="13">
        <f t="shared" si="6"/>
        <v>885.59999999999991</v>
      </c>
      <c r="N8" s="14">
        <f t="shared" si="0"/>
        <v>4240</v>
      </c>
      <c r="O8" s="30" t="s">
        <v>47</v>
      </c>
      <c r="P8" s="33">
        <f t="shared" si="1"/>
        <v>88.56</v>
      </c>
      <c r="Q8" s="33">
        <f t="shared" si="2"/>
        <v>95.644800000000004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2621.1999999999998</v>
      </c>
      <c r="I9" s="10">
        <v>75</v>
      </c>
      <c r="J9" s="10">
        <v>175</v>
      </c>
      <c r="K9" s="16">
        <v>845.58</v>
      </c>
      <c r="L9" s="19"/>
      <c r="M9" s="22">
        <f>C9-H9-I9+L9-K9-J9</f>
        <v>283.22000000000014</v>
      </c>
      <c r="N9" s="14">
        <f t="shared" si="0"/>
        <v>2904.42</v>
      </c>
      <c r="O9" s="30" t="s">
        <v>47</v>
      </c>
      <c r="P9" s="33">
        <f t="shared" si="1"/>
        <v>28.322000000000017</v>
      </c>
      <c r="Q9" s="33">
        <f t="shared" si="2"/>
        <v>30.587760000000021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3354.4</v>
      </c>
      <c r="I10" s="10">
        <v>0</v>
      </c>
      <c r="J10" s="10">
        <v>105</v>
      </c>
      <c r="K10" s="20"/>
      <c r="L10" s="19"/>
      <c r="M10" s="13">
        <f t="shared" si="6"/>
        <v>540.59999999999991</v>
      </c>
      <c r="N10" s="14">
        <f t="shared" si="0"/>
        <v>3895</v>
      </c>
      <c r="O10" s="30" t="s">
        <v>49</v>
      </c>
      <c r="P10" s="33">
        <f t="shared" si="1"/>
        <v>54.059999999999995</v>
      </c>
      <c r="Q10" s="33">
        <f t="shared" si="2"/>
        <v>58.384799999999998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3354.2</v>
      </c>
      <c r="I11" s="10">
        <v>0</v>
      </c>
      <c r="J11" s="10">
        <v>0</v>
      </c>
      <c r="K11" s="11"/>
      <c r="L11" s="12"/>
      <c r="M11" s="13">
        <f>C11-H11-I11+L11-K11-J11</f>
        <v>3645.8</v>
      </c>
      <c r="N11" s="14">
        <f t="shared" si="0"/>
        <v>7000</v>
      </c>
      <c r="O11" s="30" t="s">
        <v>47</v>
      </c>
      <c r="P11" s="33">
        <f t="shared" si="1"/>
        <v>364.58000000000004</v>
      </c>
      <c r="Q11" s="33">
        <f t="shared" si="2"/>
        <v>393.74640000000005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3354.4</v>
      </c>
      <c r="I12" s="10">
        <v>150</v>
      </c>
      <c r="J12" s="10">
        <v>0</v>
      </c>
      <c r="K12" s="11"/>
      <c r="L12" s="12"/>
      <c r="M12" s="13">
        <f>C12-H12-I12+L12-K12-J12</f>
        <v>1495.6</v>
      </c>
      <c r="N12" s="14">
        <f t="shared" si="0"/>
        <v>4850</v>
      </c>
      <c r="O12" s="30" t="s">
        <v>47</v>
      </c>
      <c r="P12" s="33">
        <f t="shared" si="1"/>
        <v>149.56</v>
      </c>
      <c r="Q12" s="33">
        <f t="shared" si="2"/>
        <v>161.5248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3280</v>
      </c>
      <c r="I13" s="10">
        <v>150</v>
      </c>
      <c r="J13" s="10">
        <v>70</v>
      </c>
      <c r="K13" s="21"/>
      <c r="L13" s="12"/>
      <c r="M13" s="13">
        <f>C13-H13-I13+L13-K13-J13</f>
        <v>0</v>
      </c>
      <c r="N13" s="14">
        <f t="shared" si="0"/>
        <v>3280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2879</v>
      </c>
      <c r="I14" s="10">
        <v>225</v>
      </c>
      <c r="J14" s="10">
        <v>35</v>
      </c>
      <c r="K14" s="21">
        <v>587.84</v>
      </c>
      <c r="L14" s="12"/>
      <c r="M14" s="22">
        <f>C14-H14-I14+L14-K14-J14</f>
        <v>273.15999999999997</v>
      </c>
      <c r="N14" s="14">
        <f t="shared" si="0"/>
        <v>3152.16</v>
      </c>
      <c r="O14" s="36" t="s">
        <v>47</v>
      </c>
      <c r="P14" s="33">
        <f t="shared" si="1"/>
        <v>27.315999999999999</v>
      </c>
      <c r="Q14" s="33">
        <f t="shared" si="2"/>
        <v>29.501280000000001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3354.2</v>
      </c>
      <c r="I15" s="10">
        <v>0</v>
      </c>
      <c r="J15" s="10">
        <v>0</v>
      </c>
      <c r="K15" s="11"/>
      <c r="L15" s="12"/>
      <c r="M15" s="13">
        <f t="shared" si="6"/>
        <v>645.80000000000018</v>
      </c>
      <c r="N15" s="14">
        <f t="shared" si="0"/>
        <v>4000</v>
      </c>
      <c r="O15" s="30" t="s">
        <v>47</v>
      </c>
      <c r="P15" s="33">
        <f t="shared" si="1"/>
        <v>64.580000000000027</v>
      </c>
      <c r="Q15" s="33">
        <f t="shared" si="2"/>
        <v>69.746400000000037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3354.4</v>
      </c>
      <c r="I16" s="10">
        <v>0</v>
      </c>
      <c r="J16" s="10">
        <v>175</v>
      </c>
      <c r="K16" s="21"/>
      <c r="L16" s="12"/>
      <c r="M16" s="13">
        <f>C16-H16-I16+L16-K16-J16</f>
        <v>470.59999999999991</v>
      </c>
      <c r="N16" s="14">
        <f t="shared" si="0"/>
        <v>3825</v>
      </c>
      <c r="O16" s="29" t="s">
        <v>47</v>
      </c>
      <c r="P16" s="33">
        <f t="shared" si="1"/>
        <v>47.059999999999995</v>
      </c>
      <c r="Q16" s="33">
        <f t="shared" si="2"/>
        <v>50.824799999999996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3354.4</v>
      </c>
      <c r="I17" s="10">
        <v>0</v>
      </c>
      <c r="J17" s="10">
        <v>0</v>
      </c>
      <c r="K17" s="21"/>
      <c r="L17" s="19"/>
      <c r="M17" s="13">
        <f t="shared" si="6"/>
        <v>645.59999999999991</v>
      </c>
      <c r="N17" s="14">
        <f t="shared" si="0"/>
        <v>4000</v>
      </c>
      <c r="O17" s="29" t="s">
        <v>47</v>
      </c>
      <c r="P17" s="33">
        <f t="shared" si="1"/>
        <v>64.559999999999988</v>
      </c>
      <c r="Q17" s="33">
        <f t="shared" si="2"/>
        <v>69.724799999999988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3120.4</v>
      </c>
      <c r="I18" s="10">
        <v>150</v>
      </c>
      <c r="J18" s="10">
        <v>175</v>
      </c>
      <c r="K18" s="21">
        <v>293.92</v>
      </c>
      <c r="L18" s="12"/>
      <c r="M18" s="13">
        <f t="shared" si="6"/>
        <v>260.67999999999989</v>
      </c>
      <c r="N18" s="14">
        <f t="shared" si="0"/>
        <v>3381.08</v>
      </c>
      <c r="O18" s="29" t="s">
        <v>47</v>
      </c>
      <c r="P18" s="33">
        <f t="shared" si="1"/>
        <v>26.067999999999991</v>
      </c>
      <c r="Q18" s="33">
        <f t="shared" si="2"/>
        <v>28.153439999999993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2376</v>
      </c>
      <c r="I19" s="10">
        <v>0</v>
      </c>
      <c r="J19" s="10">
        <v>0</v>
      </c>
      <c r="K19" s="16">
        <v>908.03</v>
      </c>
      <c r="L19" s="12"/>
      <c r="M19" s="13">
        <f t="shared" si="6"/>
        <v>6715.97</v>
      </c>
      <c r="N19" s="14">
        <f t="shared" si="0"/>
        <v>9091.9700000000012</v>
      </c>
      <c r="O19" s="29" t="s">
        <v>50</v>
      </c>
      <c r="P19" s="33">
        <f t="shared" si="1"/>
        <v>671.59700000000009</v>
      </c>
      <c r="Q19" s="33">
        <f t="shared" si="2"/>
        <v>725.3247600000002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3354.2</v>
      </c>
      <c r="I20" s="10">
        <v>225</v>
      </c>
      <c r="J20" s="10">
        <v>175</v>
      </c>
      <c r="K20" s="11"/>
      <c r="L20" s="19"/>
      <c r="M20" s="13">
        <f t="shared" si="6"/>
        <v>4245.8</v>
      </c>
      <c r="N20" s="14">
        <f t="shared" si="0"/>
        <v>7600</v>
      </c>
      <c r="O20" s="29" t="s">
        <v>47</v>
      </c>
      <c r="P20" s="33">
        <f t="shared" si="1"/>
        <v>424.58000000000004</v>
      </c>
      <c r="Q20" s="33">
        <f t="shared" si="2"/>
        <v>458.54640000000006</v>
      </c>
    </row>
    <row r="21" spans="1:17" s="55" customFormat="1" x14ac:dyDescent="0.25">
      <c r="A21" s="42">
        <v>199</v>
      </c>
      <c r="B21" s="43" t="s">
        <v>31</v>
      </c>
      <c r="C21" s="44">
        <v>4000</v>
      </c>
      <c r="D21" s="44">
        <v>419.88</v>
      </c>
      <c r="E21" s="45">
        <f t="shared" si="3"/>
        <v>2519.2799999999997</v>
      </c>
      <c r="F21" s="45">
        <f t="shared" si="4"/>
        <v>419.88</v>
      </c>
      <c r="G21" s="46">
        <f t="shared" si="5"/>
        <v>2939.16</v>
      </c>
      <c r="H21" s="47">
        <v>17684.8</v>
      </c>
      <c r="I21" s="48"/>
      <c r="J21" s="48"/>
      <c r="K21" s="49"/>
      <c r="L21" s="50"/>
      <c r="M21" s="51"/>
      <c r="N21" s="52">
        <f t="shared" si="0"/>
        <v>17684.8</v>
      </c>
      <c r="O21" s="53" t="s">
        <v>47</v>
      </c>
      <c r="P21" s="54">
        <f t="shared" si="1"/>
        <v>0</v>
      </c>
      <c r="Q21" s="54">
        <f t="shared" si="2"/>
        <v>0</v>
      </c>
    </row>
    <row r="22" spans="1:17" s="55" customFormat="1" ht="13.5" customHeight="1" x14ac:dyDescent="0.25">
      <c r="A22" s="5">
        <v>204</v>
      </c>
      <c r="B22" s="6" t="s">
        <v>33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150</v>
      </c>
      <c r="J22" s="10">
        <v>70</v>
      </c>
      <c r="K22" s="11"/>
      <c r="L22" s="19"/>
      <c r="M22" s="13">
        <f t="shared" si="6"/>
        <v>425.59999999999991</v>
      </c>
      <c r="N22" s="14">
        <f t="shared" si="0"/>
        <v>3780</v>
      </c>
      <c r="O22" s="29" t="s">
        <v>47</v>
      </c>
      <c r="P22" s="33">
        <f t="shared" si="1"/>
        <v>42.559999999999995</v>
      </c>
      <c r="Q22" s="33">
        <f t="shared" si="2"/>
        <v>45.964799999999997</v>
      </c>
    </row>
    <row r="23" spans="1:17" s="55" customFormat="1" x14ac:dyDescent="0.25">
      <c r="A23" s="5">
        <v>213</v>
      </c>
      <c r="B23" s="6" t="s">
        <v>34</v>
      </c>
      <c r="C23" s="7">
        <v>4000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3354.2</v>
      </c>
      <c r="I23" s="10">
        <v>0</v>
      </c>
      <c r="J23" s="10">
        <v>0</v>
      </c>
      <c r="K23" s="11"/>
      <c r="L23" s="19"/>
      <c r="M23" s="13">
        <f t="shared" si="6"/>
        <v>645.80000000000018</v>
      </c>
      <c r="N23" s="14">
        <f t="shared" si="0"/>
        <v>4000</v>
      </c>
      <c r="O23" s="29" t="s">
        <v>50</v>
      </c>
      <c r="P23" s="33">
        <f t="shared" si="1"/>
        <v>64.580000000000027</v>
      </c>
      <c r="Q23" s="33">
        <f t="shared" si="2"/>
        <v>69.746400000000037</v>
      </c>
    </row>
    <row r="24" spans="1:17" s="55" customFormat="1" x14ac:dyDescent="0.25">
      <c r="A24" s="5">
        <v>215</v>
      </c>
      <c r="B24" s="6" t="s">
        <v>35</v>
      </c>
      <c r="C24" s="7">
        <v>5000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3354.2</v>
      </c>
      <c r="I24" s="10">
        <v>150</v>
      </c>
      <c r="J24" s="10">
        <v>35</v>
      </c>
      <c r="K24" s="21"/>
      <c r="L24" s="19"/>
      <c r="M24" s="13">
        <f t="shared" si="6"/>
        <v>1460.8000000000002</v>
      </c>
      <c r="N24" s="14">
        <f t="shared" si="0"/>
        <v>4815</v>
      </c>
      <c r="O24" s="29" t="s">
        <v>47</v>
      </c>
      <c r="P24" s="33">
        <f t="shared" si="1"/>
        <v>146.08000000000001</v>
      </c>
      <c r="Q24" s="33">
        <f t="shared" si="2"/>
        <v>157.76640000000003</v>
      </c>
    </row>
    <row r="25" spans="1:17" s="55" customFormat="1" x14ac:dyDescent="0.25">
      <c r="A25" s="5">
        <v>218</v>
      </c>
      <c r="B25" s="6" t="s">
        <v>36</v>
      </c>
      <c r="C25" s="7">
        <v>3500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7">
        <v>3354.2</v>
      </c>
      <c r="I25" s="10">
        <v>0</v>
      </c>
      <c r="J25" s="10">
        <v>0</v>
      </c>
      <c r="K25" s="21"/>
      <c r="L25" s="12"/>
      <c r="M25" s="13">
        <f t="shared" si="6"/>
        <v>145.80000000000018</v>
      </c>
      <c r="N25" s="14">
        <f t="shared" si="0"/>
        <v>3500</v>
      </c>
      <c r="O25" s="29" t="s">
        <v>49</v>
      </c>
      <c r="P25" s="33">
        <f t="shared" si="1"/>
        <v>14.58000000000002</v>
      </c>
      <c r="Q25" s="33">
        <f t="shared" si="2"/>
        <v>15.746400000000023</v>
      </c>
    </row>
    <row r="26" spans="1:17" s="55" customFormat="1" x14ac:dyDescent="0.25">
      <c r="A26" s="36">
        <v>220</v>
      </c>
      <c r="B26" s="6" t="s">
        <v>37</v>
      </c>
      <c r="C26" s="7">
        <v>4000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8">
        <v>3120.4</v>
      </c>
      <c r="I26" s="10">
        <v>225</v>
      </c>
      <c r="J26" s="10">
        <v>210</v>
      </c>
      <c r="K26" s="21">
        <v>293.92</v>
      </c>
      <c r="L26" s="12"/>
      <c r="M26" s="13">
        <f t="shared" si="6"/>
        <v>150.67999999999989</v>
      </c>
      <c r="N26" s="14">
        <f t="shared" si="0"/>
        <v>3271.08</v>
      </c>
      <c r="O26" s="36" t="s">
        <v>47</v>
      </c>
      <c r="P26" s="33">
        <f t="shared" si="1"/>
        <v>15.067999999999991</v>
      </c>
      <c r="Q26" s="33">
        <f t="shared" si="2"/>
        <v>16.27343999999999</v>
      </c>
    </row>
    <row r="27" spans="1:17" s="55" customFormat="1" x14ac:dyDescent="0.25">
      <c r="A27" s="5">
        <v>221</v>
      </c>
      <c r="B27" s="6" t="s">
        <v>38</v>
      </c>
      <c r="C27" s="7">
        <v>5000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3354.2</v>
      </c>
      <c r="I27" s="10">
        <v>225</v>
      </c>
      <c r="J27" s="10">
        <v>175</v>
      </c>
      <c r="K27" s="21"/>
      <c r="L27" s="12"/>
      <c r="M27" s="13">
        <f t="shared" si="6"/>
        <v>1245.8000000000002</v>
      </c>
      <c r="N27" s="14">
        <f t="shared" si="0"/>
        <v>4600</v>
      </c>
      <c r="O27" s="29" t="s">
        <v>47</v>
      </c>
      <c r="P27" s="33">
        <f t="shared" si="1"/>
        <v>124.58000000000003</v>
      </c>
      <c r="Q27" s="33">
        <f t="shared" si="2"/>
        <v>134.54640000000003</v>
      </c>
    </row>
    <row r="28" spans="1:17" s="55" customFormat="1" x14ac:dyDescent="0.25">
      <c r="A28" s="5">
        <v>222</v>
      </c>
      <c r="B28" s="6" t="s">
        <v>39</v>
      </c>
      <c r="C28" s="7">
        <v>8000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3354.2</v>
      </c>
      <c r="I28" s="10">
        <v>0</v>
      </c>
      <c r="J28" s="10">
        <v>175</v>
      </c>
      <c r="K28" s="21"/>
      <c r="L28" s="19"/>
      <c r="M28" s="13">
        <f t="shared" si="6"/>
        <v>4470.8</v>
      </c>
      <c r="N28" s="14">
        <f t="shared" si="0"/>
        <v>7825</v>
      </c>
      <c r="O28" s="29" t="s">
        <v>47</v>
      </c>
      <c r="P28" s="33">
        <f t="shared" si="1"/>
        <v>447.08000000000004</v>
      </c>
      <c r="Q28" s="33">
        <f t="shared" si="2"/>
        <v>482.84640000000007</v>
      </c>
    </row>
    <row r="29" spans="1:17" s="55" customFormat="1" x14ac:dyDescent="0.25">
      <c r="A29" s="5">
        <v>226</v>
      </c>
      <c r="B29" s="6" t="s">
        <v>40</v>
      </c>
      <c r="C29" s="7">
        <v>7500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225</v>
      </c>
      <c r="J29" s="10">
        <v>35</v>
      </c>
      <c r="K29" s="21"/>
      <c r="L29" s="12"/>
      <c r="M29" s="13">
        <f t="shared" si="6"/>
        <v>3885.6000000000004</v>
      </c>
      <c r="N29" s="14">
        <f t="shared" si="0"/>
        <v>7240</v>
      </c>
      <c r="O29" s="29" t="s">
        <v>47</v>
      </c>
      <c r="P29" s="33">
        <f t="shared" si="1"/>
        <v>388.56000000000006</v>
      </c>
      <c r="Q29" s="33">
        <f t="shared" si="2"/>
        <v>419.64480000000009</v>
      </c>
    </row>
    <row r="30" spans="1:17" s="55" customFormat="1" x14ac:dyDescent="0.25">
      <c r="A30" s="5">
        <v>227</v>
      </c>
      <c r="B30" s="6" t="s">
        <v>41</v>
      </c>
      <c r="C30" s="7">
        <v>6000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2879</v>
      </c>
      <c r="I30" s="10">
        <v>225</v>
      </c>
      <c r="J30" s="10">
        <v>175</v>
      </c>
      <c r="K30" s="21">
        <v>587.84</v>
      </c>
      <c r="L30" s="12"/>
      <c r="M30" s="13">
        <f t="shared" si="6"/>
        <v>2133.16</v>
      </c>
      <c r="N30" s="14">
        <f t="shared" si="0"/>
        <v>5012.16</v>
      </c>
      <c r="O30" s="29" t="s">
        <v>47</v>
      </c>
      <c r="P30" s="33">
        <f t="shared" si="1"/>
        <v>213.316</v>
      </c>
      <c r="Q30" s="33">
        <f t="shared" si="2"/>
        <v>230.38128</v>
      </c>
    </row>
    <row r="31" spans="1:17" s="55" customFormat="1" x14ac:dyDescent="0.25">
      <c r="A31" s="5">
        <v>233</v>
      </c>
      <c r="B31" s="6" t="s">
        <v>42</v>
      </c>
      <c r="C31" s="7">
        <v>6250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3354.2</v>
      </c>
      <c r="I31" s="10">
        <v>225</v>
      </c>
      <c r="J31" s="10">
        <v>70</v>
      </c>
      <c r="K31" s="21"/>
      <c r="L31" s="12"/>
      <c r="M31" s="13">
        <f t="shared" si="6"/>
        <v>2600.8000000000002</v>
      </c>
      <c r="N31" s="14">
        <f t="shared" si="0"/>
        <v>5955</v>
      </c>
      <c r="O31" s="31" t="s">
        <v>47</v>
      </c>
      <c r="P31" s="33">
        <f t="shared" si="1"/>
        <v>260.08000000000004</v>
      </c>
      <c r="Q31" s="33">
        <f t="shared" si="2"/>
        <v>280.88640000000004</v>
      </c>
    </row>
    <row r="32" spans="1:17" s="55" customFormat="1" x14ac:dyDescent="0.25">
      <c r="A32" s="5">
        <v>237</v>
      </c>
      <c r="B32" s="6" t="s">
        <v>43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0</v>
      </c>
      <c r="J32" s="10">
        <v>70</v>
      </c>
      <c r="K32" s="11"/>
      <c r="L32" s="19"/>
      <c r="M32" s="13">
        <f>C32-H32-I32+L32-K32-J32</f>
        <v>1575.6</v>
      </c>
      <c r="N32" s="14">
        <f>H32+M32</f>
        <v>4930</v>
      </c>
      <c r="O32" s="29" t="s">
        <v>47</v>
      </c>
      <c r="P32" s="33">
        <f>+M32*0.1</f>
        <v>157.56</v>
      </c>
      <c r="Q32" s="33">
        <f t="shared" si="2"/>
        <v>170.16480000000001</v>
      </c>
    </row>
    <row r="33" spans="1:17" s="55" customFormat="1" x14ac:dyDescent="0.25">
      <c r="A33" s="5">
        <v>244</v>
      </c>
      <c r="B33" s="6" t="s">
        <v>44</v>
      </c>
      <c r="C33" s="7">
        <v>5000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3354.2</v>
      </c>
      <c r="I33" s="10">
        <v>150</v>
      </c>
      <c r="J33" s="10">
        <v>105</v>
      </c>
      <c r="K33" s="21"/>
      <c r="L33" s="12"/>
      <c r="M33" s="13">
        <f>C33-H33-I33+L33-K33-J33</f>
        <v>1390.8000000000002</v>
      </c>
      <c r="N33" s="14">
        <f t="shared" si="0"/>
        <v>4745</v>
      </c>
      <c r="O33" s="29" t="s">
        <v>47</v>
      </c>
      <c r="P33" s="33">
        <f t="shared" si="1"/>
        <v>139.08000000000001</v>
      </c>
      <c r="Q33" s="33">
        <f t="shared" si="2"/>
        <v>150.20640000000003</v>
      </c>
    </row>
    <row r="34" spans="1:17" s="55" customFormat="1" x14ac:dyDescent="0.25">
      <c r="A34" s="5">
        <v>245</v>
      </c>
      <c r="B34" s="6" t="s">
        <v>45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3354.4</v>
      </c>
      <c r="I34" s="10">
        <v>75</v>
      </c>
      <c r="J34" s="10">
        <v>0</v>
      </c>
      <c r="K34" s="11"/>
      <c r="L34" s="12"/>
      <c r="M34" s="13">
        <f t="shared" si="6"/>
        <v>1570.6</v>
      </c>
      <c r="N34" s="14">
        <f t="shared" si="0"/>
        <v>4925</v>
      </c>
      <c r="O34" s="34">
        <v>2</v>
      </c>
      <c r="P34" s="33">
        <f t="shared" si="1"/>
        <v>157.06</v>
      </c>
      <c r="Q34" s="33">
        <f t="shared" si="2"/>
        <v>169.62480000000002</v>
      </c>
    </row>
    <row r="35" spans="1:17" s="55" customFormat="1" x14ac:dyDescent="0.25">
      <c r="A35" s="5">
        <v>252</v>
      </c>
      <c r="B35" s="6" t="s">
        <v>53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3354.2</v>
      </c>
      <c r="I35" s="10">
        <v>150</v>
      </c>
      <c r="J35" s="10">
        <v>140</v>
      </c>
      <c r="K35" s="21"/>
      <c r="L35" s="19"/>
      <c r="M35" s="13">
        <f t="shared" si="6"/>
        <v>355.80000000000018</v>
      </c>
      <c r="N35" s="14">
        <f t="shared" si="0"/>
        <v>3710</v>
      </c>
      <c r="O35" s="5" t="s">
        <v>47</v>
      </c>
      <c r="P35" s="33">
        <f t="shared" si="1"/>
        <v>35.58000000000002</v>
      </c>
      <c r="Q35" s="33">
        <f t="shared" si="2"/>
        <v>38.426400000000022</v>
      </c>
    </row>
    <row r="36" spans="1:17" s="55" customFormat="1" x14ac:dyDescent="0.25">
      <c r="A36" s="5">
        <v>260</v>
      </c>
      <c r="B36" s="6" t="s">
        <v>54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3238.8</v>
      </c>
      <c r="I36" s="10">
        <v>0</v>
      </c>
      <c r="J36" s="10">
        <v>0</v>
      </c>
      <c r="K36" s="11">
        <v>314.29000000000002</v>
      </c>
      <c r="L36" s="19"/>
      <c r="M36" s="13">
        <f t="shared" si="6"/>
        <v>1446.9099999999999</v>
      </c>
      <c r="N36" s="14">
        <f t="shared" si="0"/>
        <v>4685.71</v>
      </c>
      <c r="O36" s="5" t="s">
        <v>47</v>
      </c>
      <c r="P36" s="33">
        <f t="shared" si="1"/>
        <v>144.691</v>
      </c>
      <c r="Q36" s="33">
        <f t="shared" si="2"/>
        <v>156.26628000000002</v>
      </c>
    </row>
    <row r="37" spans="1:17" s="55" customFormat="1" x14ac:dyDescent="0.25">
      <c r="A37" s="5">
        <v>261</v>
      </c>
      <c r="B37" s="6" t="s">
        <v>55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2371</v>
      </c>
      <c r="I37" s="10">
        <v>225</v>
      </c>
      <c r="J37" s="10">
        <v>0</v>
      </c>
      <c r="K37" s="16">
        <v>913.35</v>
      </c>
      <c r="L37" s="19"/>
      <c r="M37" s="13">
        <f t="shared" si="6"/>
        <v>490.65</v>
      </c>
      <c r="N37" s="14">
        <f t="shared" si="0"/>
        <v>2861.65</v>
      </c>
      <c r="O37" s="5" t="s">
        <v>47</v>
      </c>
      <c r="P37" s="33">
        <f t="shared" si="1"/>
        <v>49.064999999999998</v>
      </c>
      <c r="Q37" s="33">
        <f t="shared" si="2"/>
        <v>52.990200000000002</v>
      </c>
    </row>
    <row r="38" spans="1:17" s="55" customFormat="1" x14ac:dyDescent="0.25">
      <c r="A38" s="5">
        <v>267</v>
      </c>
      <c r="B38" s="6" t="s">
        <v>56</v>
      </c>
      <c r="C38" s="7">
        <v>5000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2614.1999999999998</v>
      </c>
      <c r="I38" s="10">
        <v>225</v>
      </c>
      <c r="J38" s="10">
        <v>175</v>
      </c>
      <c r="K38" s="16">
        <v>729.8</v>
      </c>
      <c r="L38" s="12"/>
      <c r="M38" s="13">
        <f t="shared" si="6"/>
        <v>1256.0000000000002</v>
      </c>
      <c r="N38" s="14">
        <f t="shared" si="0"/>
        <v>3870.2</v>
      </c>
      <c r="O38" s="5" t="s">
        <v>47</v>
      </c>
      <c r="P38" s="33">
        <f t="shared" si="1"/>
        <v>125.60000000000002</v>
      </c>
      <c r="Q38" s="33">
        <f t="shared" si="2"/>
        <v>135.64800000000002</v>
      </c>
    </row>
    <row r="39" spans="1:17" s="55" customFormat="1" x14ac:dyDescent="0.25">
      <c r="A39" s="5">
        <v>268</v>
      </c>
      <c r="B39" s="6" t="s">
        <v>57</v>
      </c>
      <c r="C39" s="7">
        <v>4000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3354.2</v>
      </c>
      <c r="I39" s="10">
        <v>75</v>
      </c>
      <c r="J39" s="10">
        <v>0</v>
      </c>
      <c r="K39" s="11"/>
      <c r="L39" s="19"/>
      <c r="M39" s="13">
        <f t="shared" si="6"/>
        <v>570.80000000000018</v>
      </c>
      <c r="N39" s="14">
        <f t="shared" si="0"/>
        <v>3925</v>
      </c>
      <c r="O39" s="5" t="s">
        <v>47</v>
      </c>
      <c r="P39" s="33">
        <f t="shared" si="1"/>
        <v>57.08000000000002</v>
      </c>
      <c r="Q39" s="33">
        <f t="shared" si="2"/>
        <v>61.646400000000028</v>
      </c>
    </row>
    <row r="40" spans="1:17" s="55" customFormat="1" x14ac:dyDescent="0.25">
      <c r="A40" s="5">
        <v>269</v>
      </c>
      <c r="B40" s="6" t="s">
        <v>58</v>
      </c>
      <c r="C40" s="7">
        <v>7000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2879.2</v>
      </c>
      <c r="I40" s="10">
        <v>225</v>
      </c>
      <c r="J40" s="10">
        <v>140</v>
      </c>
      <c r="K40" s="21">
        <v>587.84</v>
      </c>
      <c r="L40" s="19">
        <v>607.82000000000005</v>
      </c>
      <c r="M40" s="13">
        <f t="shared" si="6"/>
        <v>3775.7799999999997</v>
      </c>
      <c r="N40" s="14">
        <f>H40+M40</f>
        <v>6654.98</v>
      </c>
      <c r="O40" s="5" t="s">
        <v>47</v>
      </c>
      <c r="P40" s="33">
        <f t="shared" si="1"/>
        <v>377.57799999999997</v>
      </c>
      <c r="Q40" s="33">
        <f t="shared" si="2"/>
        <v>407.78424000000001</v>
      </c>
    </row>
    <row r="41" spans="1:17" s="55" customFormat="1" x14ac:dyDescent="0.25">
      <c r="A41" s="5">
        <v>271</v>
      </c>
      <c r="B41" s="6" t="s">
        <v>59</v>
      </c>
      <c r="C41" s="7">
        <v>3500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2582.1999999999998</v>
      </c>
      <c r="I41" s="10">
        <v>225</v>
      </c>
      <c r="J41" s="10">
        <v>105</v>
      </c>
      <c r="K41" s="21">
        <v>587.84</v>
      </c>
      <c r="L41" s="19"/>
      <c r="M41" s="84">
        <f>C41-H41-I41+L41-K41-J41+0.04</f>
        <v>1.5006745845980163E-13</v>
      </c>
      <c r="N41" s="14">
        <f t="shared" si="0"/>
        <v>2582.1999999999998</v>
      </c>
      <c r="O41" s="5" t="s">
        <v>47</v>
      </c>
      <c r="P41" s="33">
        <f t="shared" si="1"/>
        <v>1.5006745845980165E-14</v>
      </c>
      <c r="Q41" s="33">
        <f t="shared" si="2"/>
        <v>1.6207285513658578E-14</v>
      </c>
    </row>
    <row r="42" spans="1:17" s="55" customFormat="1" x14ac:dyDescent="0.25">
      <c r="A42" s="5">
        <v>275</v>
      </c>
      <c r="B42" s="6" t="s">
        <v>60</v>
      </c>
      <c r="C42" s="7">
        <v>3375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3354.4</v>
      </c>
      <c r="I42" s="10">
        <v>0</v>
      </c>
      <c r="J42" s="10">
        <v>0</v>
      </c>
      <c r="K42" s="21"/>
      <c r="L42" s="19"/>
      <c r="M42" s="22">
        <f>C42-H42-I42+L42-K42-J42</f>
        <v>20.599999999999909</v>
      </c>
      <c r="N42" s="14">
        <f t="shared" si="0"/>
        <v>3375</v>
      </c>
      <c r="O42" s="5" t="s">
        <v>47</v>
      </c>
      <c r="P42" s="33">
        <f t="shared" si="1"/>
        <v>2.0599999999999912</v>
      </c>
      <c r="Q42" s="33">
        <f t="shared" si="2"/>
        <v>2.2247999999999908</v>
      </c>
    </row>
    <row r="43" spans="1:17" s="55" customFormat="1" x14ac:dyDescent="0.25">
      <c r="A43" s="5">
        <v>276</v>
      </c>
      <c r="B43" s="6" t="s">
        <v>61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150</v>
      </c>
      <c r="J43" s="10">
        <v>140</v>
      </c>
      <c r="K43" s="11"/>
      <c r="L43" s="19"/>
      <c r="M43" s="13">
        <f t="shared" si="6"/>
        <v>1355.6</v>
      </c>
      <c r="N43" s="14">
        <f t="shared" si="0"/>
        <v>4710</v>
      </c>
      <c r="O43" s="5" t="s">
        <v>47</v>
      </c>
      <c r="P43" s="33">
        <f t="shared" si="1"/>
        <v>135.56</v>
      </c>
      <c r="Q43" s="33">
        <f t="shared" si="2"/>
        <v>146.40480000000002</v>
      </c>
    </row>
    <row r="44" spans="1:17" s="55" customFormat="1" x14ac:dyDescent="0.25">
      <c r="A44" s="5">
        <v>279</v>
      </c>
      <c r="B44" s="6" t="s">
        <v>63</v>
      </c>
      <c r="C44" s="7">
        <v>3500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2657.2</v>
      </c>
      <c r="I44" s="10">
        <v>150</v>
      </c>
      <c r="J44" s="10">
        <v>105</v>
      </c>
      <c r="K44" s="21">
        <v>587.84</v>
      </c>
      <c r="L44" s="19"/>
      <c r="M44" s="84">
        <f>C44-H44-I44+L44-K44-J44+0.04</f>
        <v>1.5006745845980163E-13</v>
      </c>
      <c r="N44" s="14">
        <f t="shared" si="0"/>
        <v>2657.2</v>
      </c>
      <c r="O44" s="5" t="s">
        <v>47</v>
      </c>
      <c r="P44" s="33">
        <f t="shared" si="1"/>
        <v>1.5006745845980165E-14</v>
      </c>
      <c r="Q44" s="33">
        <f t="shared" si="2"/>
        <v>1.6207285513658578E-14</v>
      </c>
    </row>
    <row r="45" spans="1:17" s="55" customFormat="1" x14ac:dyDescent="0.25">
      <c r="A45" s="5">
        <v>280</v>
      </c>
      <c r="B45" s="6" t="s">
        <v>64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3009.6</v>
      </c>
      <c r="I45" s="10">
        <v>0</v>
      </c>
      <c r="J45" s="10">
        <v>0</v>
      </c>
      <c r="K45" s="11">
        <v>595.96</v>
      </c>
      <c r="L45" s="19"/>
      <c r="M45" s="13">
        <f t="shared" si="6"/>
        <v>1394.44</v>
      </c>
      <c r="N45" s="14">
        <f t="shared" si="0"/>
        <v>4404.04</v>
      </c>
      <c r="O45" s="5" t="s">
        <v>47</v>
      </c>
      <c r="P45" s="33">
        <f t="shared" si="1"/>
        <v>139.44400000000002</v>
      </c>
      <c r="Q45" s="33">
        <f t="shared" si="2"/>
        <v>150.59952000000004</v>
      </c>
    </row>
    <row r="46" spans="1:17" s="55" customFormat="1" x14ac:dyDescent="0.25">
      <c r="A46" s="5">
        <v>281</v>
      </c>
      <c r="B46" s="6" t="s">
        <v>65</v>
      </c>
      <c r="C46" s="7">
        <v>8750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3354.4</v>
      </c>
      <c r="I46" s="10">
        <v>0</v>
      </c>
      <c r="J46" s="10">
        <v>0</v>
      </c>
      <c r="K46" s="11"/>
      <c r="L46" s="19"/>
      <c r="M46" s="13">
        <f t="shared" si="6"/>
        <v>5395.6</v>
      </c>
      <c r="N46" s="14">
        <f t="shared" si="0"/>
        <v>8750</v>
      </c>
      <c r="O46" s="5" t="s">
        <v>47</v>
      </c>
      <c r="P46" s="33">
        <f t="shared" si="1"/>
        <v>539.56000000000006</v>
      </c>
      <c r="Q46" s="33">
        <f t="shared" si="2"/>
        <v>582.72480000000007</v>
      </c>
    </row>
    <row r="47" spans="1:17" s="55" customFormat="1" x14ac:dyDescent="0.25">
      <c r="A47" s="5">
        <v>283</v>
      </c>
      <c r="B47" s="6" t="s">
        <v>66</v>
      </c>
      <c r="C47" s="7">
        <v>5000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3354.2</v>
      </c>
      <c r="I47" s="10">
        <v>150</v>
      </c>
      <c r="J47" s="10">
        <v>35</v>
      </c>
      <c r="K47" s="11"/>
      <c r="L47" s="12"/>
      <c r="M47" s="13">
        <f t="shared" si="6"/>
        <v>1460.8000000000002</v>
      </c>
      <c r="N47" s="14">
        <f t="shared" si="0"/>
        <v>4815</v>
      </c>
      <c r="O47" s="5" t="s">
        <v>47</v>
      </c>
      <c r="P47" s="33">
        <f t="shared" si="1"/>
        <v>146.08000000000001</v>
      </c>
      <c r="Q47" s="33">
        <f t="shared" si="2"/>
        <v>157.76640000000003</v>
      </c>
    </row>
    <row r="48" spans="1:17" x14ac:dyDescent="0.25">
      <c r="A48" s="5">
        <v>284</v>
      </c>
      <c r="B48" s="6" t="s">
        <v>67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>
        <v>0</v>
      </c>
      <c r="J48" s="10">
        <v>0</v>
      </c>
      <c r="K48" s="11"/>
      <c r="L48" s="19"/>
      <c r="M48" s="13">
        <f t="shared" si="6"/>
        <v>645.59999999999991</v>
      </c>
      <c r="N48" s="14">
        <f t="shared" si="0"/>
        <v>4000</v>
      </c>
      <c r="O48" s="5" t="s">
        <v>47</v>
      </c>
      <c r="P48" s="33">
        <f t="shared" si="1"/>
        <v>64.559999999999988</v>
      </c>
      <c r="Q48" s="33">
        <f t="shared" si="2"/>
        <v>69.724799999999988</v>
      </c>
    </row>
    <row r="49" spans="1:18" x14ac:dyDescent="0.25">
      <c r="A49" s="5">
        <v>285</v>
      </c>
      <c r="B49" s="6" t="s">
        <v>68</v>
      </c>
      <c r="C49" s="7">
        <v>4000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>
        <v>0</v>
      </c>
      <c r="J49" s="10">
        <v>0</v>
      </c>
      <c r="K49" s="11"/>
      <c r="L49" s="12"/>
      <c r="M49" s="13">
        <f t="shared" si="6"/>
        <v>645.80000000000018</v>
      </c>
      <c r="N49" s="14">
        <f t="shared" si="0"/>
        <v>4000</v>
      </c>
      <c r="O49" s="5" t="s">
        <v>47</v>
      </c>
      <c r="P49" s="33">
        <f t="shared" si="1"/>
        <v>64.580000000000027</v>
      </c>
      <c r="Q49" s="33">
        <f t="shared" si="2"/>
        <v>69.746400000000037</v>
      </c>
    </row>
    <row r="50" spans="1:18" x14ac:dyDescent="0.25">
      <c r="A50" s="5">
        <v>286</v>
      </c>
      <c r="B50" s="6" t="s">
        <v>69</v>
      </c>
      <c r="C50" s="7">
        <v>4000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3354.2</v>
      </c>
      <c r="I50" s="10">
        <v>225</v>
      </c>
      <c r="J50" s="10">
        <v>0</v>
      </c>
      <c r="K50" s="11"/>
      <c r="L50" s="19"/>
      <c r="M50" s="13">
        <f t="shared" si="6"/>
        <v>420.80000000000018</v>
      </c>
      <c r="N50" s="14">
        <f t="shared" si="0"/>
        <v>3775</v>
      </c>
      <c r="O50" s="5" t="s">
        <v>47</v>
      </c>
      <c r="P50" s="33">
        <f t="shared" si="1"/>
        <v>42.08000000000002</v>
      </c>
      <c r="Q50" s="33">
        <f t="shared" si="2"/>
        <v>45.446400000000025</v>
      </c>
    </row>
    <row r="51" spans="1:18" x14ac:dyDescent="0.25">
      <c r="A51" s="5">
        <v>287</v>
      </c>
      <c r="B51" s="6" t="s">
        <v>72</v>
      </c>
      <c r="C51" s="7">
        <v>5000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225</v>
      </c>
      <c r="J51" s="10">
        <v>175</v>
      </c>
      <c r="K51" s="11"/>
      <c r="L51" s="19"/>
      <c r="M51" s="13">
        <f t="shared" si="6"/>
        <v>1245.5999999999999</v>
      </c>
      <c r="N51" s="14">
        <f t="shared" si="0"/>
        <v>4600</v>
      </c>
      <c r="O51" s="5" t="s">
        <v>47</v>
      </c>
      <c r="P51" s="33">
        <f t="shared" si="1"/>
        <v>124.56</v>
      </c>
      <c r="Q51" s="33">
        <f t="shared" si="2"/>
        <v>134.5248</v>
      </c>
    </row>
    <row r="52" spans="1:18" x14ac:dyDescent="0.25">
      <c r="A52" s="5">
        <v>288</v>
      </c>
      <c r="B52" s="6" t="s">
        <v>73</v>
      </c>
      <c r="C52" s="7">
        <v>3500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0</v>
      </c>
      <c r="J52" s="10">
        <v>0</v>
      </c>
      <c r="K52" s="11"/>
      <c r="L52" s="19">
        <v>521.99</v>
      </c>
      <c r="M52" s="13">
        <f t="shared" si="6"/>
        <v>667.58999999999992</v>
      </c>
      <c r="N52" s="14">
        <f t="shared" si="0"/>
        <v>4021.99</v>
      </c>
      <c r="O52" s="5" t="s">
        <v>47</v>
      </c>
      <c r="P52" s="33">
        <f t="shared" si="1"/>
        <v>66.759</v>
      </c>
      <c r="Q52" s="33">
        <f t="shared" si="2"/>
        <v>72.099720000000005</v>
      </c>
    </row>
    <row r="53" spans="1:18" x14ac:dyDescent="0.25">
      <c r="A53" s="5">
        <v>289</v>
      </c>
      <c r="B53" s="6" t="s">
        <v>74</v>
      </c>
      <c r="C53" s="7">
        <v>3500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3354.4</v>
      </c>
      <c r="I53" s="10">
        <v>0</v>
      </c>
      <c r="J53" s="10">
        <v>0</v>
      </c>
      <c r="K53" s="11"/>
      <c r="L53" s="19">
        <v>3680.17</v>
      </c>
      <c r="M53" s="13">
        <f t="shared" si="6"/>
        <v>3825.77</v>
      </c>
      <c r="N53" s="14">
        <f t="shared" si="0"/>
        <v>7180.17</v>
      </c>
      <c r="O53" s="5" t="s">
        <v>47</v>
      </c>
      <c r="P53" s="33">
        <f t="shared" si="1"/>
        <v>382.577</v>
      </c>
      <c r="Q53" s="33">
        <f t="shared" si="2"/>
        <v>413.18316000000004</v>
      </c>
    </row>
    <row r="54" spans="1:18" x14ac:dyDescent="0.25">
      <c r="A54" s="42">
        <v>290</v>
      </c>
      <c r="B54" s="43" t="s">
        <v>75</v>
      </c>
      <c r="C54" s="44">
        <v>6250</v>
      </c>
      <c r="D54" s="44">
        <v>419.88</v>
      </c>
      <c r="E54" s="45">
        <f t="shared" si="3"/>
        <v>2519.2799999999997</v>
      </c>
      <c r="F54" s="45">
        <f t="shared" si="4"/>
        <v>419.88</v>
      </c>
      <c r="G54" s="46">
        <f t="shared" si="5"/>
        <v>2939.16</v>
      </c>
      <c r="H54" s="47">
        <v>6035</v>
      </c>
      <c r="I54" s="48"/>
      <c r="J54" s="48"/>
      <c r="K54" s="49"/>
      <c r="L54" s="50"/>
      <c r="M54" s="51"/>
      <c r="N54" s="52">
        <f t="shared" si="0"/>
        <v>6035</v>
      </c>
      <c r="O54" s="42" t="s">
        <v>47</v>
      </c>
      <c r="P54" s="54">
        <f t="shared" si="1"/>
        <v>0</v>
      </c>
      <c r="Q54" s="54">
        <f t="shared" si="2"/>
        <v>0</v>
      </c>
    </row>
    <row r="55" spans="1:18" x14ac:dyDescent="0.25">
      <c r="A55" s="5">
        <v>291</v>
      </c>
      <c r="B55" s="6" t="s">
        <v>78</v>
      </c>
      <c r="C55" s="7">
        <v>4250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3354.2</v>
      </c>
      <c r="I55" s="10">
        <v>75</v>
      </c>
      <c r="J55" s="10">
        <v>105</v>
      </c>
      <c r="K55" s="11"/>
      <c r="L55" s="19"/>
      <c r="M55" s="13">
        <f t="shared" si="6"/>
        <v>715.80000000000018</v>
      </c>
      <c r="N55" s="14">
        <f t="shared" si="0"/>
        <v>4070</v>
      </c>
      <c r="O55" s="5" t="s">
        <v>47</v>
      </c>
      <c r="P55" s="33">
        <f t="shared" si="1"/>
        <v>71.580000000000027</v>
      </c>
      <c r="Q55" s="33">
        <f t="shared" si="2"/>
        <v>77.306400000000039</v>
      </c>
    </row>
    <row r="56" spans="1:18" x14ac:dyDescent="0.25">
      <c r="A56" s="5">
        <v>293</v>
      </c>
      <c r="B56" s="6" t="s">
        <v>89</v>
      </c>
      <c r="C56" s="7">
        <v>4000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3354.4</v>
      </c>
      <c r="I56" s="10">
        <v>225</v>
      </c>
      <c r="J56" s="10">
        <v>35</v>
      </c>
      <c r="K56" s="11"/>
      <c r="L56" s="12"/>
      <c r="M56" s="13">
        <f t="shared" si="6"/>
        <v>385.59999999999991</v>
      </c>
      <c r="N56" s="14">
        <f t="shared" si="0"/>
        <v>3740</v>
      </c>
      <c r="O56" s="5" t="s">
        <v>47</v>
      </c>
      <c r="P56" s="33">
        <f t="shared" si="1"/>
        <v>38.559999999999995</v>
      </c>
      <c r="Q56" s="33">
        <f t="shared" si="2"/>
        <v>41.644799999999996</v>
      </c>
    </row>
    <row r="57" spans="1:18" x14ac:dyDescent="0.25">
      <c r="A57" s="5">
        <v>294</v>
      </c>
      <c r="B57" s="6" t="s">
        <v>91</v>
      </c>
      <c r="C57" s="7">
        <v>4000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2593.6</v>
      </c>
      <c r="I57" s="10">
        <v>75</v>
      </c>
      <c r="J57" s="10">
        <v>0</v>
      </c>
      <c r="K57" s="11">
        <v>1331.42</v>
      </c>
      <c r="L57" s="12"/>
      <c r="M57" s="84">
        <f>C57-H57-I57+L57-K57-J57+0.02</f>
        <v>1.8190310369092799E-14</v>
      </c>
      <c r="N57" s="14">
        <f t="shared" si="0"/>
        <v>2593.6</v>
      </c>
      <c r="O57" s="5" t="s">
        <v>47</v>
      </c>
      <c r="P57" s="33">
        <f t="shared" si="1"/>
        <v>1.8190310369092802E-15</v>
      </c>
      <c r="Q57" s="33">
        <f t="shared" si="2"/>
        <v>1.9645535198620228E-15</v>
      </c>
    </row>
    <row r="58" spans="1:18" ht="16.149999999999999" customHeight="1" thickBot="1" x14ac:dyDescent="0.3"/>
    <row r="59" spans="1:18" ht="18" thickBot="1" x14ac:dyDescent="0.35">
      <c r="A59" s="23"/>
      <c r="B59" s="24"/>
      <c r="C59" s="25">
        <f t="shared" ref="C59:N59" si="7">SUM(C4:C58)</f>
        <v>266875</v>
      </c>
      <c r="D59" s="25">
        <f t="shared" si="7"/>
        <v>22673.52</v>
      </c>
      <c r="E59" s="25">
        <f t="shared" si="7"/>
        <v>133521.83999999997</v>
      </c>
      <c r="F59" s="25">
        <f t="shared" si="7"/>
        <v>22253.64</v>
      </c>
      <c r="G59" s="25">
        <f t="shared" si="7"/>
        <v>155775.48000000013</v>
      </c>
      <c r="H59" s="25">
        <f t="shared" si="7"/>
        <v>186245.59999999998</v>
      </c>
      <c r="I59" s="26">
        <f t="shared" si="7"/>
        <v>5775</v>
      </c>
      <c r="J59" s="26">
        <f t="shared" si="7"/>
        <v>3395</v>
      </c>
      <c r="K59" s="26">
        <f t="shared" si="7"/>
        <v>9165.4700000000012</v>
      </c>
      <c r="L59" s="27">
        <f t="shared" si="7"/>
        <v>4809.9799999999996</v>
      </c>
      <c r="M59" s="25">
        <f t="shared" si="7"/>
        <v>80573.810000000056</v>
      </c>
      <c r="N59" s="25">
        <f t="shared" si="7"/>
        <v>266819.41000000003</v>
      </c>
      <c r="P59" s="25">
        <f>SUM(P4:P58)</f>
        <v>8057.381000000003</v>
      </c>
      <c r="Q59" s="25">
        <f>SUM(Q4:Q58)</f>
        <v>8701.9714800000002</v>
      </c>
      <c r="R59" s="55">
        <f>+N59+Q59</f>
        <v>275521.38148000004</v>
      </c>
    </row>
    <row r="60" spans="1:18" x14ac:dyDescent="0.25">
      <c r="H60" s="15"/>
      <c r="M60" s="15"/>
    </row>
    <row r="61" spans="1:18" x14ac:dyDescent="0.25">
      <c r="H61" s="15"/>
      <c r="I61">
        <f>+I59/75</f>
        <v>77</v>
      </c>
      <c r="J61" s="28">
        <f>SUM(J59)/35</f>
        <v>97</v>
      </c>
      <c r="R61" s="55">
        <v>12886.8</v>
      </c>
    </row>
    <row r="62" spans="1:18" x14ac:dyDescent="0.25">
      <c r="F62" s="15"/>
      <c r="H62" s="15">
        <f>H59+M59</f>
        <v>266819.41000000003</v>
      </c>
      <c r="K62" s="15"/>
    </row>
    <row r="63" spans="1:18" x14ac:dyDescent="0.25">
      <c r="H63" s="15">
        <f>'[1]Nom 9'!$H$53</f>
        <v>131178.05999999994</v>
      </c>
      <c r="I63" s="40"/>
      <c r="J63" s="15"/>
    </row>
    <row r="64" spans="1:18" x14ac:dyDescent="0.25">
      <c r="H64" s="15">
        <f>[2]Rino!$H$8</f>
        <v>75398.810000000012</v>
      </c>
    </row>
    <row r="65" spans="8:10" x14ac:dyDescent="0.25">
      <c r="H65" s="15">
        <f>H63+H64</f>
        <v>206576.86999999994</v>
      </c>
    </row>
    <row r="70" spans="8:10" x14ac:dyDescent="0.25">
      <c r="J70" s="15">
        <f>(H59-H54-H21)+3354.4+2879</f>
        <v>168759.19999999998</v>
      </c>
    </row>
  </sheetData>
  <autoFilter ref="A3:Q57" xr:uid="{00000000-0009-0000-0000-00000E000000}"/>
  <mergeCells count="2">
    <mergeCell ref="A1:N1"/>
    <mergeCell ref="A2:N2"/>
  </mergeCells>
  <pageMargins left="0.25" right="0.25" top="0.75" bottom="0.75" header="0.3" footer="0.3"/>
  <pageSetup scale="48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6">
    <pageSetUpPr fitToPage="1"/>
  </sheetPr>
  <dimension ref="A1:R67"/>
  <sheetViews>
    <sheetView showGridLines="0" workbookViewId="0">
      <selection activeCell="Q25" sqref="Q25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92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6</v>
      </c>
      <c r="B4" s="6" t="s">
        <v>14</v>
      </c>
      <c r="C4" s="7">
        <v>4000</v>
      </c>
      <c r="D4" s="7">
        <v>419.88</v>
      </c>
      <c r="E4" s="8">
        <f t="shared" ref="E4:E54" si="0">D4*6</f>
        <v>2519.2799999999997</v>
      </c>
      <c r="F4" s="8">
        <f>D4</f>
        <v>419.88</v>
      </c>
      <c r="G4" s="9">
        <f t="shared" ref="G4:G54" si="1">E4+F4</f>
        <v>2939.16</v>
      </c>
      <c r="H4" s="37">
        <v>3222.2</v>
      </c>
      <c r="I4" s="10">
        <v>375</v>
      </c>
      <c r="J4" s="10">
        <v>0</v>
      </c>
      <c r="K4" s="11"/>
      <c r="L4" s="12">
        <v>285.70999999999998</v>
      </c>
      <c r="M4" s="13">
        <f>C4-H4-I4+L4-K4-J4</f>
        <v>688.51000000000022</v>
      </c>
      <c r="N4" s="14">
        <f t="shared" ref="N4:N54" si="2">H4+M4</f>
        <v>3910.71</v>
      </c>
      <c r="O4" s="29" t="s">
        <v>47</v>
      </c>
      <c r="P4" s="33">
        <f t="shared" ref="P4:P54" si="3">+M4*0.1</f>
        <v>68.851000000000028</v>
      </c>
      <c r="Q4" s="33">
        <f t="shared" ref="Q4:Q54" si="4">+P4*1.08</f>
        <v>74.359080000000034</v>
      </c>
    </row>
    <row r="5" spans="1:17" x14ac:dyDescent="0.25">
      <c r="A5" s="36">
        <v>14</v>
      </c>
      <c r="B5" s="6" t="s">
        <v>15</v>
      </c>
      <c r="C5" s="7">
        <v>15000</v>
      </c>
      <c r="D5" s="7">
        <v>419.88</v>
      </c>
      <c r="E5" s="8">
        <f t="shared" si="0"/>
        <v>2519.2799999999997</v>
      </c>
      <c r="F5" s="8">
        <f t="shared" ref="F5:F54" si="5">D5</f>
        <v>419.88</v>
      </c>
      <c r="G5" s="9">
        <f t="shared" si="1"/>
        <v>2939.16</v>
      </c>
      <c r="H5" s="38">
        <v>3222.2</v>
      </c>
      <c r="I5" s="10">
        <v>75</v>
      </c>
      <c r="J5" s="10">
        <v>105</v>
      </c>
      <c r="K5" s="11"/>
      <c r="L5" s="12">
        <v>1071.43</v>
      </c>
      <c r="M5" s="13">
        <f t="shared" ref="M5:M52" si="6">C5-H5-I5+L5-K5-J5</f>
        <v>12669.23</v>
      </c>
      <c r="N5" s="14">
        <f t="shared" si="2"/>
        <v>15891.43</v>
      </c>
      <c r="O5" s="30" t="s">
        <v>47</v>
      </c>
      <c r="P5" s="33">
        <f t="shared" si="3"/>
        <v>1266.923</v>
      </c>
      <c r="Q5" s="33">
        <f t="shared" si="4"/>
        <v>1368.27684</v>
      </c>
    </row>
    <row r="6" spans="1:17" ht="15" customHeight="1" x14ac:dyDescent="0.25">
      <c r="A6" s="36">
        <v>24</v>
      </c>
      <c r="B6" s="6" t="s">
        <v>16</v>
      </c>
      <c r="C6" s="7">
        <v>4000</v>
      </c>
      <c r="D6" s="7">
        <v>419.88</v>
      </c>
      <c r="E6" s="8">
        <f t="shared" si="0"/>
        <v>2519.2799999999997</v>
      </c>
      <c r="F6" s="8">
        <f t="shared" si="5"/>
        <v>419.88</v>
      </c>
      <c r="G6" s="9">
        <f t="shared" si="1"/>
        <v>2939.16</v>
      </c>
      <c r="H6" s="38">
        <v>3222.2</v>
      </c>
      <c r="I6" s="10">
        <v>150</v>
      </c>
      <c r="J6" s="10">
        <v>105</v>
      </c>
      <c r="K6" s="21"/>
      <c r="L6" s="12">
        <v>285.70999999999998</v>
      </c>
      <c r="M6" s="13">
        <f t="shared" si="6"/>
        <v>808.51000000000022</v>
      </c>
      <c r="N6" s="14">
        <f t="shared" si="2"/>
        <v>4030.71</v>
      </c>
      <c r="O6" s="36" t="s">
        <v>47</v>
      </c>
      <c r="P6" s="33">
        <f t="shared" si="3"/>
        <v>80.851000000000028</v>
      </c>
      <c r="Q6" s="33">
        <f t="shared" si="4"/>
        <v>87.319080000000042</v>
      </c>
    </row>
    <row r="7" spans="1:17" x14ac:dyDescent="0.25">
      <c r="A7" s="36">
        <v>43</v>
      </c>
      <c r="B7" s="6" t="s">
        <v>17</v>
      </c>
      <c r="C7" s="7">
        <v>4500</v>
      </c>
      <c r="D7" s="7">
        <v>419.88</v>
      </c>
      <c r="E7" s="8">
        <f t="shared" si="0"/>
        <v>2519.2799999999997</v>
      </c>
      <c r="F7" s="8">
        <f t="shared" si="5"/>
        <v>419.88</v>
      </c>
      <c r="G7" s="9">
        <f t="shared" si="1"/>
        <v>2939.16</v>
      </c>
      <c r="H7" s="37">
        <v>3222.2</v>
      </c>
      <c r="I7" s="10">
        <v>375</v>
      </c>
      <c r="J7" s="10">
        <v>70</v>
      </c>
      <c r="K7" s="11"/>
      <c r="L7" s="12">
        <v>321.43</v>
      </c>
      <c r="M7" s="13">
        <f t="shared" si="6"/>
        <v>1154.2300000000002</v>
      </c>
      <c r="N7" s="14">
        <f t="shared" si="2"/>
        <v>4376.43</v>
      </c>
      <c r="O7" s="30" t="s">
        <v>47</v>
      </c>
      <c r="P7" s="33">
        <f t="shared" si="3"/>
        <v>115.42300000000003</v>
      </c>
      <c r="Q7" s="33">
        <f t="shared" si="4"/>
        <v>124.65684000000005</v>
      </c>
    </row>
    <row r="8" spans="1:17" ht="15.6" customHeight="1" x14ac:dyDescent="0.25">
      <c r="A8" s="36">
        <v>52</v>
      </c>
      <c r="B8" s="6" t="s">
        <v>18</v>
      </c>
      <c r="C8" s="7">
        <v>4000</v>
      </c>
      <c r="D8" s="7">
        <v>419.88</v>
      </c>
      <c r="E8" s="8">
        <f t="shared" si="0"/>
        <v>2519.2799999999997</v>
      </c>
      <c r="F8" s="8">
        <f t="shared" si="5"/>
        <v>419.88</v>
      </c>
      <c r="G8" s="9">
        <f t="shared" si="1"/>
        <v>2939.16</v>
      </c>
      <c r="H8" s="37">
        <v>2793.8</v>
      </c>
      <c r="I8" s="10">
        <v>75</v>
      </c>
      <c r="J8" s="10">
        <v>210</v>
      </c>
      <c r="K8" s="16">
        <v>467.68</v>
      </c>
      <c r="L8" s="12">
        <v>285.70999999999998</v>
      </c>
      <c r="M8" s="22">
        <f>C8-H8-I8+L8-K8-J8</f>
        <v>739.22999999999979</v>
      </c>
      <c r="N8" s="14">
        <f t="shared" si="2"/>
        <v>3533.0299999999997</v>
      </c>
      <c r="O8" s="30" t="s">
        <v>47</v>
      </c>
      <c r="P8" s="33">
        <f t="shared" si="3"/>
        <v>73.922999999999988</v>
      </c>
      <c r="Q8" s="33">
        <f t="shared" si="4"/>
        <v>79.836839999999995</v>
      </c>
    </row>
    <row r="9" spans="1:17" x14ac:dyDescent="0.25">
      <c r="A9" s="5">
        <v>62</v>
      </c>
      <c r="B9" s="17" t="s">
        <v>19</v>
      </c>
      <c r="C9" s="7">
        <v>4000</v>
      </c>
      <c r="D9" s="7">
        <v>419.88</v>
      </c>
      <c r="E9" s="8">
        <f t="shared" si="0"/>
        <v>2519.2799999999997</v>
      </c>
      <c r="F9" s="8">
        <f t="shared" si="5"/>
        <v>419.88</v>
      </c>
      <c r="G9" s="9">
        <f t="shared" si="1"/>
        <v>2939.16</v>
      </c>
      <c r="H9" s="37">
        <v>3222.2</v>
      </c>
      <c r="I9" s="10">
        <v>0</v>
      </c>
      <c r="J9" s="10">
        <v>0</v>
      </c>
      <c r="K9" s="20"/>
      <c r="L9" s="12">
        <v>285.70999999999998</v>
      </c>
      <c r="M9" s="13">
        <f t="shared" si="6"/>
        <v>1063.5100000000002</v>
      </c>
      <c r="N9" s="14">
        <f t="shared" si="2"/>
        <v>4285.71</v>
      </c>
      <c r="O9" s="30" t="s">
        <v>49</v>
      </c>
      <c r="P9" s="33">
        <f t="shared" si="3"/>
        <v>106.35100000000003</v>
      </c>
      <c r="Q9" s="33">
        <f t="shared" si="4"/>
        <v>114.85908000000003</v>
      </c>
    </row>
    <row r="10" spans="1:17" x14ac:dyDescent="0.25">
      <c r="A10" s="5">
        <v>109</v>
      </c>
      <c r="B10" s="17" t="s">
        <v>20</v>
      </c>
      <c r="C10" s="7">
        <v>7000</v>
      </c>
      <c r="D10" s="7">
        <v>419.88</v>
      </c>
      <c r="E10" s="8">
        <f t="shared" si="0"/>
        <v>2519.2799999999997</v>
      </c>
      <c r="F10" s="8">
        <f t="shared" si="5"/>
        <v>419.88</v>
      </c>
      <c r="G10" s="9">
        <f t="shared" si="1"/>
        <v>2939.16</v>
      </c>
      <c r="H10" s="37">
        <v>3222.2</v>
      </c>
      <c r="I10" s="10">
        <v>150</v>
      </c>
      <c r="J10" s="10">
        <v>70</v>
      </c>
      <c r="K10" s="11"/>
      <c r="L10" s="12">
        <v>500</v>
      </c>
      <c r="M10" s="13">
        <f>C10-H10-I10+L10-K10-J10</f>
        <v>4057.8</v>
      </c>
      <c r="N10" s="14">
        <f t="shared" si="2"/>
        <v>7280</v>
      </c>
      <c r="O10" s="30" t="s">
        <v>47</v>
      </c>
      <c r="P10" s="33">
        <f t="shared" si="3"/>
        <v>405.78000000000003</v>
      </c>
      <c r="Q10" s="33">
        <f t="shared" si="4"/>
        <v>438.24240000000009</v>
      </c>
    </row>
    <row r="11" spans="1:17" x14ac:dyDescent="0.25">
      <c r="A11" s="5">
        <v>114</v>
      </c>
      <c r="B11" s="17" t="s">
        <v>21</v>
      </c>
      <c r="C11" s="7">
        <v>5000</v>
      </c>
      <c r="D11" s="7">
        <v>419.88</v>
      </c>
      <c r="E11" s="8">
        <f t="shared" si="0"/>
        <v>2519.2799999999997</v>
      </c>
      <c r="F11" s="8">
        <f t="shared" si="5"/>
        <v>419.88</v>
      </c>
      <c r="G11" s="9">
        <f t="shared" si="1"/>
        <v>2939.16</v>
      </c>
      <c r="H11" s="37">
        <v>3222.2</v>
      </c>
      <c r="I11" s="10">
        <v>150</v>
      </c>
      <c r="J11" s="10">
        <v>70</v>
      </c>
      <c r="K11" s="11"/>
      <c r="L11" s="12">
        <v>357.14</v>
      </c>
      <c r="M11" s="13">
        <f>C11-H11-I11+L11-K11-J11</f>
        <v>1914.94</v>
      </c>
      <c r="N11" s="14">
        <f t="shared" si="2"/>
        <v>5137.1399999999994</v>
      </c>
      <c r="O11" s="30" t="s">
        <v>47</v>
      </c>
      <c r="P11" s="33">
        <f t="shared" si="3"/>
        <v>191.49400000000003</v>
      </c>
      <c r="Q11" s="33">
        <f t="shared" si="4"/>
        <v>206.81352000000004</v>
      </c>
    </row>
    <row r="12" spans="1:17" x14ac:dyDescent="0.25">
      <c r="A12" s="5">
        <v>131</v>
      </c>
      <c r="B12" s="17" t="s">
        <v>22</v>
      </c>
      <c r="C12" s="7">
        <v>3500</v>
      </c>
      <c r="D12" s="7">
        <v>419.88</v>
      </c>
      <c r="E12" s="8">
        <f t="shared" si="0"/>
        <v>2519.2799999999997</v>
      </c>
      <c r="F12" s="8">
        <f t="shared" si="5"/>
        <v>419.88</v>
      </c>
      <c r="G12" s="9">
        <f t="shared" si="1"/>
        <v>2939.16</v>
      </c>
      <c r="H12" s="37">
        <v>3222.2</v>
      </c>
      <c r="I12" s="10">
        <v>75</v>
      </c>
      <c r="J12" s="10">
        <v>105</v>
      </c>
      <c r="K12" s="21"/>
      <c r="L12" s="12">
        <v>250</v>
      </c>
      <c r="M12" s="13">
        <f>C12-H12-I12+L12-K12-J12</f>
        <v>347.80000000000018</v>
      </c>
      <c r="N12" s="14">
        <f t="shared" si="2"/>
        <v>3570</v>
      </c>
      <c r="O12" s="30" t="s">
        <v>47</v>
      </c>
      <c r="P12" s="33">
        <f t="shared" si="3"/>
        <v>34.780000000000022</v>
      </c>
      <c r="Q12" s="33">
        <f t="shared" si="4"/>
        <v>37.562400000000025</v>
      </c>
    </row>
    <row r="13" spans="1:17" x14ac:dyDescent="0.25">
      <c r="A13" s="36">
        <v>149</v>
      </c>
      <c r="B13" s="6" t="s">
        <v>23</v>
      </c>
      <c r="C13" s="7">
        <v>4000</v>
      </c>
      <c r="D13" s="7">
        <v>419.88</v>
      </c>
      <c r="E13" s="8">
        <f t="shared" si="0"/>
        <v>2519.2799999999997</v>
      </c>
      <c r="F13" s="8">
        <f t="shared" si="5"/>
        <v>419.88</v>
      </c>
      <c r="G13" s="9">
        <f t="shared" si="1"/>
        <v>2939.16</v>
      </c>
      <c r="H13" s="38">
        <v>2879</v>
      </c>
      <c r="I13" s="10">
        <v>225</v>
      </c>
      <c r="J13" s="10">
        <v>210</v>
      </c>
      <c r="K13" s="21">
        <v>419.88</v>
      </c>
      <c r="L13" s="12">
        <v>285.70999999999998</v>
      </c>
      <c r="M13" s="22">
        <f>C13-H13-I13+L13-K13-J13</f>
        <v>551.83000000000004</v>
      </c>
      <c r="N13" s="14">
        <f t="shared" si="2"/>
        <v>3430.83</v>
      </c>
      <c r="O13" s="36" t="s">
        <v>47</v>
      </c>
      <c r="P13" s="33">
        <f t="shared" si="3"/>
        <v>55.183000000000007</v>
      </c>
      <c r="Q13" s="33">
        <f t="shared" si="4"/>
        <v>59.597640000000013</v>
      </c>
    </row>
    <row r="14" spans="1:17" x14ac:dyDescent="0.25">
      <c r="A14" s="5">
        <v>150</v>
      </c>
      <c r="B14" s="6" t="s">
        <v>24</v>
      </c>
      <c r="C14" s="7">
        <v>4000</v>
      </c>
      <c r="D14" s="7">
        <v>419.88</v>
      </c>
      <c r="E14" s="8">
        <f t="shared" si="0"/>
        <v>2519.2799999999997</v>
      </c>
      <c r="F14" s="8">
        <f t="shared" si="5"/>
        <v>419.88</v>
      </c>
      <c r="G14" s="9">
        <f t="shared" si="1"/>
        <v>2939.16</v>
      </c>
      <c r="H14" s="37">
        <v>3222.2</v>
      </c>
      <c r="I14" s="10">
        <v>0</v>
      </c>
      <c r="J14" s="10">
        <v>0</v>
      </c>
      <c r="K14" s="11"/>
      <c r="L14" s="12">
        <v>285.70999999999998</v>
      </c>
      <c r="M14" s="13">
        <f t="shared" si="6"/>
        <v>1063.5100000000002</v>
      </c>
      <c r="N14" s="14">
        <f t="shared" si="2"/>
        <v>4285.71</v>
      </c>
      <c r="O14" s="30" t="s">
        <v>47</v>
      </c>
      <c r="P14" s="33">
        <f t="shared" si="3"/>
        <v>106.35100000000003</v>
      </c>
      <c r="Q14" s="33">
        <f t="shared" si="4"/>
        <v>114.85908000000003</v>
      </c>
    </row>
    <row r="15" spans="1:17" x14ac:dyDescent="0.25">
      <c r="A15" s="5">
        <v>151</v>
      </c>
      <c r="B15" s="6" t="s">
        <v>25</v>
      </c>
      <c r="C15" s="7">
        <v>4000</v>
      </c>
      <c r="D15" s="7">
        <v>419.88</v>
      </c>
      <c r="E15" s="8">
        <f t="shared" si="0"/>
        <v>2519.2799999999997</v>
      </c>
      <c r="F15" s="8">
        <f t="shared" si="5"/>
        <v>419.88</v>
      </c>
      <c r="G15" s="9">
        <f t="shared" si="1"/>
        <v>2939.16</v>
      </c>
      <c r="H15" s="37">
        <v>3016.8</v>
      </c>
      <c r="I15" s="10">
        <v>375</v>
      </c>
      <c r="J15" s="10">
        <v>140</v>
      </c>
      <c r="K15" s="21"/>
      <c r="L15" s="12">
        <v>714.29</v>
      </c>
      <c r="M15" s="13">
        <f>C15-H15-I15+L15-K15-J15</f>
        <v>1182.4899999999998</v>
      </c>
      <c r="N15" s="14">
        <f t="shared" si="2"/>
        <v>4199.29</v>
      </c>
      <c r="O15" s="29" t="s">
        <v>47</v>
      </c>
      <c r="P15" s="33">
        <f t="shared" si="3"/>
        <v>118.24899999999998</v>
      </c>
      <c r="Q15" s="33">
        <f t="shared" si="4"/>
        <v>127.70891999999999</v>
      </c>
    </row>
    <row r="16" spans="1:17" x14ac:dyDescent="0.25">
      <c r="A16" s="5">
        <v>156</v>
      </c>
      <c r="B16" s="6" t="s">
        <v>26</v>
      </c>
      <c r="C16" s="7">
        <v>4000</v>
      </c>
      <c r="D16" s="7">
        <v>419.88</v>
      </c>
      <c r="E16" s="8">
        <f t="shared" si="0"/>
        <v>2519.2799999999997</v>
      </c>
      <c r="F16" s="8">
        <f t="shared" si="5"/>
        <v>419.88</v>
      </c>
      <c r="G16" s="9">
        <f t="shared" si="1"/>
        <v>2939.16</v>
      </c>
      <c r="H16" s="37">
        <v>3222.2</v>
      </c>
      <c r="I16" s="10">
        <v>0</v>
      </c>
      <c r="J16" s="10">
        <v>0</v>
      </c>
      <c r="K16" s="21"/>
      <c r="L16" s="12">
        <v>285.70999999999998</v>
      </c>
      <c r="M16" s="13">
        <f t="shared" si="6"/>
        <v>1063.5100000000002</v>
      </c>
      <c r="N16" s="14">
        <f t="shared" si="2"/>
        <v>4285.71</v>
      </c>
      <c r="O16" s="29" t="s">
        <v>47</v>
      </c>
      <c r="P16" s="33">
        <f t="shared" si="3"/>
        <v>106.35100000000003</v>
      </c>
      <c r="Q16" s="33">
        <f t="shared" si="4"/>
        <v>114.85908000000003</v>
      </c>
    </row>
    <row r="17" spans="1:17" x14ac:dyDescent="0.25">
      <c r="A17" s="5">
        <v>162</v>
      </c>
      <c r="B17" s="6" t="s">
        <v>27</v>
      </c>
      <c r="C17" s="7">
        <v>4000</v>
      </c>
      <c r="D17" s="7">
        <v>419.88</v>
      </c>
      <c r="E17" s="8">
        <f t="shared" si="0"/>
        <v>2519.2799999999997</v>
      </c>
      <c r="F17" s="8">
        <f t="shared" si="5"/>
        <v>419.88</v>
      </c>
      <c r="G17" s="9">
        <f t="shared" si="1"/>
        <v>2939.16</v>
      </c>
      <c r="H17" s="37">
        <v>3016.8</v>
      </c>
      <c r="I17" s="10">
        <v>150</v>
      </c>
      <c r="J17" s="10">
        <v>70</v>
      </c>
      <c r="K17" s="21">
        <v>167.95</v>
      </c>
      <c r="L17" s="12">
        <v>428.57</v>
      </c>
      <c r="M17" s="13">
        <f t="shared" si="6"/>
        <v>1023.8199999999997</v>
      </c>
      <c r="N17" s="14">
        <f t="shared" si="2"/>
        <v>4040.62</v>
      </c>
      <c r="O17" s="29" t="s">
        <v>47</v>
      </c>
      <c r="P17" s="33">
        <f t="shared" si="3"/>
        <v>102.38199999999998</v>
      </c>
      <c r="Q17" s="33">
        <f t="shared" si="4"/>
        <v>110.57255999999998</v>
      </c>
    </row>
    <row r="18" spans="1:17" x14ac:dyDescent="0.25">
      <c r="A18" s="5">
        <v>174</v>
      </c>
      <c r="B18" s="6" t="s">
        <v>28</v>
      </c>
      <c r="C18" s="7">
        <v>10000</v>
      </c>
      <c r="D18" s="7">
        <v>419.88</v>
      </c>
      <c r="E18" s="8">
        <f t="shared" si="0"/>
        <v>2519.2799999999997</v>
      </c>
      <c r="F18" s="8">
        <f t="shared" si="5"/>
        <v>419.88</v>
      </c>
      <c r="G18" s="9">
        <f t="shared" si="1"/>
        <v>2939.16</v>
      </c>
      <c r="H18" s="37">
        <v>2243.6</v>
      </c>
      <c r="I18" s="10">
        <v>0</v>
      </c>
      <c r="J18" s="10">
        <v>0</v>
      </c>
      <c r="K18" s="16">
        <v>908.03</v>
      </c>
      <c r="L18" s="12">
        <v>714.29</v>
      </c>
      <c r="M18" s="13">
        <f t="shared" si="6"/>
        <v>7562.6599999999989</v>
      </c>
      <c r="N18" s="14">
        <f t="shared" si="2"/>
        <v>9806.2599999999984</v>
      </c>
      <c r="O18" s="29" t="s">
        <v>50</v>
      </c>
      <c r="P18" s="33">
        <f t="shared" si="3"/>
        <v>756.26599999999996</v>
      </c>
      <c r="Q18" s="33">
        <f t="shared" si="4"/>
        <v>816.76728000000003</v>
      </c>
    </row>
    <row r="19" spans="1:17" x14ac:dyDescent="0.25">
      <c r="A19" s="5">
        <v>184</v>
      </c>
      <c r="B19" s="6" t="s">
        <v>29</v>
      </c>
      <c r="C19" s="7">
        <v>8000</v>
      </c>
      <c r="D19" s="7">
        <v>419.88</v>
      </c>
      <c r="E19" s="8">
        <f t="shared" si="0"/>
        <v>2519.2799999999997</v>
      </c>
      <c r="F19" s="8">
        <f t="shared" si="5"/>
        <v>419.88</v>
      </c>
      <c r="G19" s="9">
        <f t="shared" si="1"/>
        <v>2939.16</v>
      </c>
      <c r="H19" s="37">
        <v>3222.4</v>
      </c>
      <c r="I19" s="10">
        <v>375</v>
      </c>
      <c r="J19" s="10">
        <v>175</v>
      </c>
      <c r="K19" s="11"/>
      <c r="L19" s="19">
        <v>571.42999999999995</v>
      </c>
      <c r="M19" s="13">
        <f t="shared" si="6"/>
        <v>4799.0300000000007</v>
      </c>
      <c r="N19" s="14">
        <f t="shared" si="2"/>
        <v>8021.43</v>
      </c>
      <c r="O19" s="29" t="s">
        <v>47</v>
      </c>
      <c r="P19" s="33">
        <f t="shared" si="3"/>
        <v>479.90300000000008</v>
      </c>
      <c r="Q19" s="33">
        <f t="shared" si="4"/>
        <v>518.29524000000015</v>
      </c>
    </row>
    <row r="20" spans="1:17" s="55" customFormat="1" ht="13.5" customHeight="1" x14ac:dyDescent="0.25">
      <c r="A20" s="5">
        <v>204</v>
      </c>
      <c r="B20" s="6" t="s">
        <v>33</v>
      </c>
      <c r="C20" s="7">
        <v>4000</v>
      </c>
      <c r="D20" s="7">
        <v>419.88</v>
      </c>
      <c r="E20" s="8">
        <f t="shared" si="0"/>
        <v>2519.2799999999997</v>
      </c>
      <c r="F20" s="8">
        <f t="shared" si="5"/>
        <v>419.88</v>
      </c>
      <c r="G20" s="9">
        <f t="shared" si="1"/>
        <v>2939.16</v>
      </c>
      <c r="H20" s="37">
        <v>3222.2</v>
      </c>
      <c r="I20" s="10">
        <v>150</v>
      </c>
      <c r="J20" s="10">
        <v>140</v>
      </c>
      <c r="K20" s="11"/>
      <c r="L20" s="12">
        <v>285.70999999999998</v>
      </c>
      <c r="M20" s="13">
        <f t="shared" si="6"/>
        <v>773.51000000000022</v>
      </c>
      <c r="N20" s="14">
        <f t="shared" si="2"/>
        <v>3995.71</v>
      </c>
      <c r="O20" s="29" t="s">
        <v>47</v>
      </c>
      <c r="P20" s="33">
        <f t="shared" si="3"/>
        <v>77.351000000000028</v>
      </c>
      <c r="Q20" s="33">
        <f t="shared" si="4"/>
        <v>83.539080000000041</v>
      </c>
    </row>
    <row r="21" spans="1:17" s="55" customFormat="1" x14ac:dyDescent="0.25">
      <c r="A21" s="5">
        <v>213</v>
      </c>
      <c r="B21" s="6" t="s">
        <v>34</v>
      </c>
      <c r="C21" s="7">
        <v>4000</v>
      </c>
      <c r="D21" s="7">
        <v>419.88</v>
      </c>
      <c r="E21" s="8">
        <f t="shared" si="0"/>
        <v>2519.2799999999997</v>
      </c>
      <c r="F21" s="8">
        <f t="shared" si="5"/>
        <v>419.88</v>
      </c>
      <c r="G21" s="9">
        <f t="shared" si="1"/>
        <v>2939.16</v>
      </c>
      <c r="H21" s="37">
        <v>3222.4</v>
      </c>
      <c r="I21" s="10">
        <v>0</v>
      </c>
      <c r="J21" s="10">
        <v>0</v>
      </c>
      <c r="K21" s="11"/>
      <c r="L21" s="12">
        <v>285.70999999999998</v>
      </c>
      <c r="M21" s="13">
        <f t="shared" si="6"/>
        <v>1063.31</v>
      </c>
      <c r="N21" s="14">
        <f t="shared" si="2"/>
        <v>4285.71</v>
      </c>
      <c r="O21" s="29" t="s">
        <v>50</v>
      </c>
      <c r="P21" s="33">
        <f t="shared" si="3"/>
        <v>106.331</v>
      </c>
      <c r="Q21" s="33">
        <f t="shared" si="4"/>
        <v>114.83748000000001</v>
      </c>
    </row>
    <row r="22" spans="1:17" s="55" customFormat="1" x14ac:dyDescent="0.25">
      <c r="A22" s="5">
        <v>215</v>
      </c>
      <c r="B22" s="6" t="s">
        <v>35</v>
      </c>
      <c r="C22" s="7">
        <v>5000</v>
      </c>
      <c r="D22" s="7">
        <v>419.88</v>
      </c>
      <c r="E22" s="8">
        <f t="shared" si="0"/>
        <v>2519.2799999999997</v>
      </c>
      <c r="F22" s="8">
        <f t="shared" si="5"/>
        <v>419.88</v>
      </c>
      <c r="G22" s="9">
        <f t="shared" si="1"/>
        <v>2939.16</v>
      </c>
      <c r="H22" s="37">
        <v>3051.4</v>
      </c>
      <c r="I22" s="10">
        <v>225</v>
      </c>
      <c r="J22" s="10">
        <v>70</v>
      </c>
      <c r="K22" s="21">
        <v>209.94</v>
      </c>
      <c r="L22" s="12">
        <v>357.14</v>
      </c>
      <c r="M22" s="13">
        <f t="shared" si="6"/>
        <v>1800.7999999999997</v>
      </c>
      <c r="N22" s="14">
        <f t="shared" si="2"/>
        <v>4852.2</v>
      </c>
      <c r="O22" s="29" t="s">
        <v>47</v>
      </c>
      <c r="P22" s="33">
        <f t="shared" si="3"/>
        <v>180.07999999999998</v>
      </c>
      <c r="Q22" s="33">
        <f t="shared" si="4"/>
        <v>194.4864</v>
      </c>
    </row>
    <row r="23" spans="1:17" s="55" customFormat="1" x14ac:dyDescent="0.25">
      <c r="A23" s="5">
        <v>218</v>
      </c>
      <c r="B23" s="6" t="s">
        <v>36</v>
      </c>
      <c r="C23" s="7">
        <v>3500</v>
      </c>
      <c r="D23" s="7">
        <v>419.88</v>
      </c>
      <c r="E23" s="8">
        <f t="shared" si="0"/>
        <v>2519.2799999999997</v>
      </c>
      <c r="F23" s="8">
        <f t="shared" si="5"/>
        <v>419.88</v>
      </c>
      <c r="G23" s="9">
        <f t="shared" si="1"/>
        <v>2939.16</v>
      </c>
      <c r="H23" s="37">
        <v>3222.2</v>
      </c>
      <c r="I23" s="10">
        <v>0</v>
      </c>
      <c r="J23" s="10">
        <v>0</v>
      </c>
      <c r="K23" s="21"/>
      <c r="L23" s="12">
        <v>250</v>
      </c>
      <c r="M23" s="13">
        <f t="shared" si="6"/>
        <v>527.80000000000018</v>
      </c>
      <c r="N23" s="14">
        <f t="shared" si="2"/>
        <v>3750</v>
      </c>
      <c r="O23" s="29" t="s">
        <v>49</v>
      </c>
      <c r="P23" s="33">
        <f t="shared" si="3"/>
        <v>52.780000000000022</v>
      </c>
      <c r="Q23" s="33">
        <f t="shared" si="4"/>
        <v>57.00240000000003</v>
      </c>
    </row>
    <row r="24" spans="1:17" s="55" customFormat="1" x14ac:dyDescent="0.25">
      <c r="A24" s="36">
        <v>220</v>
      </c>
      <c r="B24" s="6" t="s">
        <v>37</v>
      </c>
      <c r="C24" s="7">
        <v>4000</v>
      </c>
      <c r="D24" s="7">
        <v>419.88</v>
      </c>
      <c r="E24" s="8">
        <f t="shared" si="0"/>
        <v>2519.2799999999997</v>
      </c>
      <c r="F24" s="8">
        <f t="shared" si="5"/>
        <v>419.88</v>
      </c>
      <c r="G24" s="9">
        <f t="shared" si="1"/>
        <v>2939.16</v>
      </c>
      <c r="H24" s="38">
        <v>3222.2</v>
      </c>
      <c r="I24" s="10">
        <v>375</v>
      </c>
      <c r="J24" s="10">
        <v>210</v>
      </c>
      <c r="K24" s="21"/>
      <c r="L24" s="12">
        <v>285.70999999999998</v>
      </c>
      <c r="M24" s="13">
        <f t="shared" si="6"/>
        <v>478.51000000000022</v>
      </c>
      <c r="N24" s="14">
        <f t="shared" si="2"/>
        <v>3700.71</v>
      </c>
      <c r="O24" s="36" t="s">
        <v>47</v>
      </c>
      <c r="P24" s="33">
        <f t="shared" si="3"/>
        <v>47.851000000000028</v>
      </c>
      <c r="Q24" s="33">
        <f t="shared" si="4"/>
        <v>51.679080000000035</v>
      </c>
    </row>
    <row r="25" spans="1:17" s="55" customFormat="1" x14ac:dyDescent="0.25">
      <c r="A25" s="5">
        <v>221</v>
      </c>
      <c r="B25" s="6" t="s">
        <v>38</v>
      </c>
      <c r="C25" s="7">
        <v>5000</v>
      </c>
      <c r="D25" s="7">
        <v>419.88</v>
      </c>
      <c r="E25" s="8">
        <f t="shared" si="0"/>
        <v>2519.2799999999997</v>
      </c>
      <c r="F25" s="8">
        <f t="shared" si="5"/>
        <v>419.88</v>
      </c>
      <c r="G25" s="9">
        <f t="shared" si="1"/>
        <v>2939.16</v>
      </c>
      <c r="H25" s="37">
        <v>3222.4</v>
      </c>
      <c r="I25" s="10">
        <v>375</v>
      </c>
      <c r="J25" s="10">
        <v>175</v>
      </c>
      <c r="K25" s="21"/>
      <c r="L25" s="12">
        <v>357.14</v>
      </c>
      <c r="M25" s="13">
        <f t="shared" si="6"/>
        <v>1584.7399999999998</v>
      </c>
      <c r="N25" s="14">
        <f t="shared" si="2"/>
        <v>4807.1399999999994</v>
      </c>
      <c r="O25" s="29" t="s">
        <v>47</v>
      </c>
      <c r="P25" s="33">
        <f t="shared" si="3"/>
        <v>158.47399999999999</v>
      </c>
      <c r="Q25" s="33">
        <f t="shared" si="4"/>
        <v>171.15191999999999</v>
      </c>
    </row>
    <row r="26" spans="1:17" s="55" customFormat="1" x14ac:dyDescent="0.25">
      <c r="A26" s="5">
        <v>222</v>
      </c>
      <c r="B26" s="6" t="s">
        <v>39</v>
      </c>
      <c r="C26" s="7">
        <v>8000</v>
      </c>
      <c r="D26" s="7">
        <v>419.88</v>
      </c>
      <c r="E26" s="8">
        <f t="shared" si="0"/>
        <v>2519.2799999999997</v>
      </c>
      <c r="F26" s="8">
        <f t="shared" si="5"/>
        <v>419.88</v>
      </c>
      <c r="G26" s="9">
        <f t="shared" si="1"/>
        <v>2939.16</v>
      </c>
      <c r="H26" s="37">
        <v>3017</v>
      </c>
      <c r="I26" s="10">
        <v>375</v>
      </c>
      <c r="J26" s="10">
        <v>140</v>
      </c>
      <c r="K26" s="21"/>
      <c r="L26" s="19">
        <v>1428.57</v>
      </c>
      <c r="M26" s="13">
        <f t="shared" si="6"/>
        <v>5896.57</v>
      </c>
      <c r="N26" s="14">
        <f t="shared" si="2"/>
        <v>8913.57</v>
      </c>
      <c r="O26" s="29" t="s">
        <v>47</v>
      </c>
      <c r="P26" s="33">
        <f t="shared" si="3"/>
        <v>589.65700000000004</v>
      </c>
      <c r="Q26" s="33">
        <f t="shared" si="4"/>
        <v>636.82956000000013</v>
      </c>
    </row>
    <row r="27" spans="1:17" s="55" customFormat="1" x14ac:dyDescent="0.25">
      <c r="A27" s="5">
        <v>226</v>
      </c>
      <c r="B27" s="6" t="s">
        <v>40</v>
      </c>
      <c r="C27" s="7">
        <v>7500</v>
      </c>
      <c r="D27" s="7">
        <v>419.88</v>
      </c>
      <c r="E27" s="8">
        <f t="shared" si="0"/>
        <v>2519.2799999999997</v>
      </c>
      <c r="F27" s="8">
        <f t="shared" si="5"/>
        <v>419.88</v>
      </c>
      <c r="G27" s="9">
        <f t="shared" si="1"/>
        <v>2939.16</v>
      </c>
      <c r="H27" s="37">
        <v>3222.2</v>
      </c>
      <c r="I27" s="10">
        <v>375</v>
      </c>
      <c r="J27" s="10">
        <v>140</v>
      </c>
      <c r="K27" s="21"/>
      <c r="L27" s="12">
        <v>535.71</v>
      </c>
      <c r="M27" s="13">
        <f t="shared" si="6"/>
        <v>4298.51</v>
      </c>
      <c r="N27" s="14">
        <f t="shared" si="2"/>
        <v>7520.71</v>
      </c>
      <c r="O27" s="29" t="s">
        <v>47</v>
      </c>
      <c r="P27" s="33">
        <f t="shared" si="3"/>
        <v>429.85100000000006</v>
      </c>
      <c r="Q27" s="33">
        <f t="shared" si="4"/>
        <v>464.23908000000011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0"/>
        <v>2519.2799999999997</v>
      </c>
      <c r="F28" s="8">
        <f t="shared" si="5"/>
        <v>419.88</v>
      </c>
      <c r="G28" s="9">
        <f t="shared" si="1"/>
        <v>2939.16</v>
      </c>
      <c r="H28" s="37">
        <v>3222.2</v>
      </c>
      <c r="I28" s="10">
        <v>75</v>
      </c>
      <c r="J28" s="10">
        <v>175</v>
      </c>
      <c r="K28" s="21"/>
      <c r="L28" s="12">
        <v>428.57</v>
      </c>
      <c r="M28" s="13">
        <f t="shared" si="6"/>
        <v>2956.3700000000003</v>
      </c>
      <c r="N28" s="14">
        <f t="shared" si="2"/>
        <v>6178.57</v>
      </c>
      <c r="O28" s="29" t="s">
        <v>47</v>
      </c>
      <c r="P28" s="33">
        <f t="shared" si="3"/>
        <v>295.63700000000006</v>
      </c>
      <c r="Q28" s="33">
        <f t="shared" si="4"/>
        <v>319.28796000000006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0"/>
        <v>2519.2799999999997</v>
      </c>
      <c r="F29" s="8">
        <f t="shared" si="5"/>
        <v>419.88</v>
      </c>
      <c r="G29" s="9">
        <f t="shared" si="1"/>
        <v>2939.16</v>
      </c>
      <c r="H29" s="37">
        <v>3222.2</v>
      </c>
      <c r="I29" s="10">
        <v>375</v>
      </c>
      <c r="J29" s="10">
        <v>105</v>
      </c>
      <c r="K29" s="21"/>
      <c r="L29" s="12">
        <v>446.43</v>
      </c>
      <c r="M29" s="13">
        <f t="shared" si="6"/>
        <v>2994.23</v>
      </c>
      <c r="N29" s="14">
        <f t="shared" si="2"/>
        <v>6216.43</v>
      </c>
      <c r="O29" s="31" t="s">
        <v>47</v>
      </c>
      <c r="P29" s="33">
        <f t="shared" si="3"/>
        <v>299.423</v>
      </c>
      <c r="Q29" s="33">
        <f t="shared" si="4"/>
        <v>323.37684000000002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0"/>
        <v>2519.2799999999997</v>
      </c>
      <c r="F30" s="8">
        <f t="shared" si="5"/>
        <v>419.88</v>
      </c>
      <c r="G30" s="9">
        <f t="shared" si="1"/>
        <v>2939.16</v>
      </c>
      <c r="H30" s="37">
        <v>3016.8</v>
      </c>
      <c r="I30" s="10">
        <v>375</v>
      </c>
      <c r="J30" s="10">
        <v>105</v>
      </c>
      <c r="K30" s="11"/>
      <c r="L30" s="19">
        <v>892.86</v>
      </c>
      <c r="M30" s="13">
        <f>C30-H30-I30+L30-K30-J30</f>
        <v>2396.06</v>
      </c>
      <c r="N30" s="14">
        <f>H30+M30</f>
        <v>5412.8600000000006</v>
      </c>
      <c r="O30" s="29" t="s">
        <v>47</v>
      </c>
      <c r="P30" s="33">
        <f>+M30*0.1</f>
        <v>239.60599999999999</v>
      </c>
      <c r="Q30" s="33">
        <f t="shared" si="4"/>
        <v>258.77447999999998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0"/>
        <v>2519.2799999999997</v>
      </c>
      <c r="F31" s="8">
        <f t="shared" si="5"/>
        <v>419.88</v>
      </c>
      <c r="G31" s="9">
        <f t="shared" si="1"/>
        <v>2939.16</v>
      </c>
      <c r="H31" s="37">
        <v>3222.4</v>
      </c>
      <c r="I31" s="10">
        <v>225</v>
      </c>
      <c r="J31" s="10">
        <v>105</v>
      </c>
      <c r="K31" s="21"/>
      <c r="L31" s="12">
        <v>357.14</v>
      </c>
      <c r="M31" s="13">
        <f>C31-H31-I31+L31-K31-J31</f>
        <v>1804.7399999999998</v>
      </c>
      <c r="N31" s="14">
        <f t="shared" si="2"/>
        <v>5027.1399999999994</v>
      </c>
      <c r="O31" s="29" t="s">
        <v>47</v>
      </c>
      <c r="P31" s="33">
        <f t="shared" si="3"/>
        <v>180.47399999999999</v>
      </c>
      <c r="Q31" s="33">
        <f t="shared" si="4"/>
        <v>194.91192000000001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0"/>
        <v>2519.2799999999997</v>
      </c>
      <c r="F32" s="8">
        <f t="shared" si="5"/>
        <v>419.88</v>
      </c>
      <c r="G32" s="9">
        <f t="shared" si="1"/>
        <v>2939.16</v>
      </c>
      <c r="H32" s="37">
        <v>3222.2</v>
      </c>
      <c r="I32" s="10">
        <v>75</v>
      </c>
      <c r="J32" s="10">
        <v>0</v>
      </c>
      <c r="K32" s="11"/>
      <c r="L32" s="12">
        <v>357.14</v>
      </c>
      <c r="M32" s="13">
        <f t="shared" si="6"/>
        <v>2059.94</v>
      </c>
      <c r="N32" s="14">
        <f t="shared" si="2"/>
        <v>5282.1399999999994</v>
      </c>
      <c r="O32" s="34">
        <v>2</v>
      </c>
      <c r="P32" s="33">
        <f t="shared" si="3"/>
        <v>205.99400000000003</v>
      </c>
      <c r="Q32" s="33">
        <f t="shared" si="4"/>
        <v>222.47352000000004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0"/>
        <v>2519.2799999999997</v>
      </c>
      <c r="F33" s="8">
        <f t="shared" si="5"/>
        <v>419.88</v>
      </c>
      <c r="G33" s="9">
        <f t="shared" si="1"/>
        <v>2939.16</v>
      </c>
      <c r="H33" s="37">
        <v>3222.2</v>
      </c>
      <c r="I33" s="10">
        <v>150</v>
      </c>
      <c r="J33" s="10">
        <v>175</v>
      </c>
      <c r="K33" s="21"/>
      <c r="L33" s="12">
        <v>285.70999999999998</v>
      </c>
      <c r="M33" s="13">
        <f t="shared" si="6"/>
        <v>738.51000000000022</v>
      </c>
      <c r="N33" s="14">
        <f t="shared" si="2"/>
        <v>3960.71</v>
      </c>
      <c r="O33" s="5" t="s">
        <v>47</v>
      </c>
      <c r="P33" s="33">
        <f t="shared" si="3"/>
        <v>73.851000000000028</v>
      </c>
      <c r="Q33" s="33">
        <f t="shared" si="4"/>
        <v>79.75908000000004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0"/>
        <v>2519.2799999999997</v>
      </c>
      <c r="F34" s="8">
        <f t="shared" si="5"/>
        <v>419.88</v>
      </c>
      <c r="G34" s="9">
        <f t="shared" si="1"/>
        <v>2939.16</v>
      </c>
      <c r="H34" s="37">
        <v>3222.2</v>
      </c>
      <c r="I34" s="10">
        <v>0</v>
      </c>
      <c r="J34" s="10">
        <v>0</v>
      </c>
      <c r="K34" s="11"/>
      <c r="L34" s="12">
        <v>357.14</v>
      </c>
      <c r="M34" s="13">
        <f t="shared" si="6"/>
        <v>2134.94</v>
      </c>
      <c r="N34" s="14">
        <f t="shared" si="2"/>
        <v>5357.1399999999994</v>
      </c>
      <c r="O34" s="5" t="s">
        <v>47</v>
      </c>
      <c r="P34" s="33">
        <f t="shared" si="3"/>
        <v>213.49400000000003</v>
      </c>
      <c r="Q34" s="33">
        <f t="shared" si="4"/>
        <v>230.57352000000006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0"/>
        <v>2519.2799999999997</v>
      </c>
      <c r="F35" s="8">
        <f t="shared" si="5"/>
        <v>419.88</v>
      </c>
      <c r="G35" s="9">
        <f t="shared" si="1"/>
        <v>2939.16</v>
      </c>
      <c r="H35" s="37">
        <v>2238.4</v>
      </c>
      <c r="I35" s="10">
        <v>300</v>
      </c>
      <c r="J35" s="10">
        <v>105</v>
      </c>
      <c r="K35" s="16">
        <v>913.35</v>
      </c>
      <c r="L35" s="12">
        <v>285.70999999999998</v>
      </c>
      <c r="M35" s="13">
        <f t="shared" si="6"/>
        <v>728.95999999999992</v>
      </c>
      <c r="N35" s="14">
        <f t="shared" si="2"/>
        <v>2967.36</v>
      </c>
      <c r="O35" s="5" t="s">
        <v>47</v>
      </c>
      <c r="P35" s="33">
        <f t="shared" si="3"/>
        <v>72.896000000000001</v>
      </c>
      <c r="Q35" s="33">
        <f t="shared" si="4"/>
        <v>78.727680000000007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0"/>
        <v>2519.2799999999997</v>
      </c>
      <c r="F36" s="8">
        <f t="shared" si="5"/>
        <v>419.88</v>
      </c>
      <c r="G36" s="9">
        <f t="shared" si="1"/>
        <v>2939.16</v>
      </c>
      <c r="H36" s="37">
        <v>2372.4</v>
      </c>
      <c r="I36" s="10">
        <v>375</v>
      </c>
      <c r="J36" s="10">
        <v>140</v>
      </c>
      <c r="K36" s="16">
        <f>435.88+420.84</f>
        <v>856.72</v>
      </c>
      <c r="L36" s="12">
        <v>357.14</v>
      </c>
      <c r="M36" s="13">
        <f t="shared" si="6"/>
        <v>1613.0199999999998</v>
      </c>
      <c r="N36" s="14">
        <f t="shared" si="2"/>
        <v>3985.42</v>
      </c>
      <c r="O36" s="5" t="s">
        <v>47</v>
      </c>
      <c r="P36" s="33">
        <f t="shared" si="3"/>
        <v>161.30199999999999</v>
      </c>
      <c r="Q36" s="33">
        <f t="shared" si="4"/>
        <v>174.20616000000001</v>
      </c>
    </row>
    <row r="37" spans="1:17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0"/>
        <v>2519.2799999999997</v>
      </c>
      <c r="F37" s="8">
        <f t="shared" si="5"/>
        <v>419.88</v>
      </c>
      <c r="G37" s="9">
        <f t="shared" si="1"/>
        <v>2939.16</v>
      </c>
      <c r="H37" s="37">
        <v>3222.2</v>
      </c>
      <c r="I37" s="10">
        <v>75</v>
      </c>
      <c r="J37" s="10">
        <v>0</v>
      </c>
      <c r="K37" s="11"/>
      <c r="L37" s="12">
        <v>285.70999999999998</v>
      </c>
      <c r="M37" s="13">
        <f t="shared" si="6"/>
        <v>988.51000000000022</v>
      </c>
      <c r="N37" s="14">
        <f t="shared" si="2"/>
        <v>4210.71</v>
      </c>
      <c r="O37" s="5" t="s">
        <v>47</v>
      </c>
      <c r="P37" s="33">
        <f t="shared" si="3"/>
        <v>98.851000000000028</v>
      </c>
      <c r="Q37" s="33">
        <f t="shared" si="4"/>
        <v>106.75908000000004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0"/>
        <v>2519.2799999999997</v>
      </c>
      <c r="F38" s="8">
        <f t="shared" si="5"/>
        <v>419.88</v>
      </c>
      <c r="G38" s="9">
        <f t="shared" si="1"/>
        <v>2939.16</v>
      </c>
      <c r="H38" s="37">
        <v>2879</v>
      </c>
      <c r="I38" s="10">
        <v>225</v>
      </c>
      <c r="J38" s="10">
        <v>140</v>
      </c>
      <c r="K38" s="21">
        <f>209.94+209.94</f>
        <v>419.88</v>
      </c>
      <c r="L38" s="12">
        <v>500</v>
      </c>
      <c r="M38" s="13">
        <f t="shared" si="6"/>
        <v>3836.12</v>
      </c>
      <c r="N38" s="14">
        <f>H38+M38</f>
        <v>6715.12</v>
      </c>
      <c r="O38" s="5" t="s">
        <v>47</v>
      </c>
      <c r="P38" s="33">
        <f t="shared" si="3"/>
        <v>383.61200000000002</v>
      </c>
      <c r="Q38" s="33">
        <f t="shared" si="4"/>
        <v>414.30096000000003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0"/>
        <v>2519.2799999999997</v>
      </c>
      <c r="F39" s="8">
        <f t="shared" si="5"/>
        <v>419.88</v>
      </c>
      <c r="G39" s="9">
        <f t="shared" si="1"/>
        <v>2939.16</v>
      </c>
      <c r="H39" s="37">
        <v>3051.4</v>
      </c>
      <c r="I39" s="10">
        <v>300</v>
      </c>
      <c r="J39" s="10">
        <v>105</v>
      </c>
      <c r="K39" s="21">
        <v>209.94</v>
      </c>
      <c r="L39" s="12">
        <v>250</v>
      </c>
      <c r="M39" s="13">
        <f>C39-H39-I39+L39-K39-J39</f>
        <v>83.659999999999911</v>
      </c>
      <c r="N39" s="14">
        <f t="shared" si="2"/>
        <v>3135.06</v>
      </c>
      <c r="O39" s="5" t="s">
        <v>47</v>
      </c>
      <c r="P39" s="33">
        <f t="shared" si="3"/>
        <v>8.3659999999999908</v>
      </c>
      <c r="Q39" s="33">
        <f t="shared" si="4"/>
        <v>9.0352799999999913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0"/>
        <v>2519.2799999999997</v>
      </c>
      <c r="F40" s="8">
        <f t="shared" si="5"/>
        <v>419.88</v>
      </c>
      <c r="G40" s="9">
        <f t="shared" si="1"/>
        <v>2939.16</v>
      </c>
      <c r="H40" s="37">
        <v>3051.4</v>
      </c>
      <c r="I40" s="10">
        <v>0</v>
      </c>
      <c r="J40" s="10">
        <v>0</v>
      </c>
      <c r="K40" s="21">
        <v>209.94</v>
      </c>
      <c r="L40" s="19">
        <v>241.07</v>
      </c>
      <c r="M40" s="22">
        <f>C40-H40-I40+L40-K40-J40</f>
        <v>354.72999999999985</v>
      </c>
      <c r="N40" s="14">
        <f t="shared" si="2"/>
        <v>3406.13</v>
      </c>
      <c r="O40" s="5" t="s">
        <v>47</v>
      </c>
      <c r="P40" s="33">
        <f t="shared" si="3"/>
        <v>35.472999999999985</v>
      </c>
      <c r="Q40" s="33">
        <f t="shared" si="4"/>
        <v>38.310839999999985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0"/>
        <v>2519.2799999999997</v>
      </c>
      <c r="F41" s="8">
        <f t="shared" si="5"/>
        <v>419.88</v>
      </c>
      <c r="G41" s="9">
        <f t="shared" si="1"/>
        <v>2939.16</v>
      </c>
      <c r="H41" s="37">
        <v>3222.2</v>
      </c>
      <c r="I41" s="10">
        <v>375</v>
      </c>
      <c r="J41" s="10">
        <v>140</v>
      </c>
      <c r="K41" s="11"/>
      <c r="L41" s="12">
        <v>357.14</v>
      </c>
      <c r="M41" s="13">
        <f t="shared" si="6"/>
        <v>1619.94</v>
      </c>
      <c r="N41" s="14">
        <f t="shared" si="2"/>
        <v>4842.1399999999994</v>
      </c>
      <c r="O41" s="5" t="s">
        <v>47</v>
      </c>
      <c r="P41" s="33">
        <f t="shared" si="3"/>
        <v>161.99400000000003</v>
      </c>
      <c r="Q41" s="33">
        <f t="shared" si="4"/>
        <v>174.95352000000005</v>
      </c>
    </row>
    <row r="42" spans="1:17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0"/>
        <v>2519.2799999999997</v>
      </c>
      <c r="F42" s="8">
        <f t="shared" si="5"/>
        <v>419.88</v>
      </c>
      <c r="G42" s="9">
        <f t="shared" si="1"/>
        <v>2939.16</v>
      </c>
      <c r="H42" s="37">
        <v>3051.4</v>
      </c>
      <c r="I42" s="10">
        <v>0</v>
      </c>
      <c r="J42" s="10">
        <v>70</v>
      </c>
      <c r="K42" s="21">
        <v>209.94</v>
      </c>
      <c r="L42" s="12">
        <v>250</v>
      </c>
      <c r="M42" s="13">
        <f>C42-H42-I42+L42-K42-J42</f>
        <v>418.65999999999991</v>
      </c>
      <c r="N42" s="14">
        <f t="shared" si="2"/>
        <v>3470.06</v>
      </c>
      <c r="O42" s="5" t="s">
        <v>47</v>
      </c>
      <c r="P42" s="33">
        <f t="shared" si="3"/>
        <v>41.865999999999993</v>
      </c>
      <c r="Q42" s="33">
        <f t="shared" si="4"/>
        <v>45.215279999999993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0"/>
        <v>2519.2799999999997</v>
      </c>
      <c r="F43" s="8">
        <f t="shared" si="5"/>
        <v>419.88</v>
      </c>
      <c r="G43" s="9">
        <f t="shared" si="1"/>
        <v>2939.16</v>
      </c>
      <c r="H43" s="37">
        <v>3222.4</v>
      </c>
      <c r="I43" s="10">
        <v>0</v>
      </c>
      <c r="J43" s="10">
        <v>0</v>
      </c>
      <c r="K43" s="11"/>
      <c r="L43" s="12">
        <v>357.14</v>
      </c>
      <c r="M43" s="13">
        <f t="shared" si="6"/>
        <v>2134.7399999999998</v>
      </c>
      <c r="N43" s="14">
        <f t="shared" si="2"/>
        <v>5357.1399999999994</v>
      </c>
      <c r="O43" s="5" t="s">
        <v>47</v>
      </c>
      <c r="P43" s="33">
        <f t="shared" si="3"/>
        <v>213.47399999999999</v>
      </c>
      <c r="Q43" s="33">
        <f t="shared" si="4"/>
        <v>230.55192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0"/>
        <v>2519.2799999999997</v>
      </c>
      <c r="F44" s="8">
        <f t="shared" si="5"/>
        <v>419.88</v>
      </c>
      <c r="G44" s="9">
        <f t="shared" si="1"/>
        <v>2939.16</v>
      </c>
      <c r="H44" s="37">
        <v>3222.2</v>
      </c>
      <c r="I44" s="10">
        <v>0</v>
      </c>
      <c r="J44" s="10">
        <v>0</v>
      </c>
      <c r="K44" s="11"/>
      <c r="L44" s="19">
        <v>625</v>
      </c>
      <c r="M44" s="13">
        <f t="shared" si="6"/>
        <v>6152.8</v>
      </c>
      <c r="N44" s="14">
        <f t="shared" si="2"/>
        <v>9375</v>
      </c>
      <c r="O44" s="5" t="s">
        <v>47</v>
      </c>
      <c r="P44" s="33">
        <f t="shared" si="3"/>
        <v>615.28000000000009</v>
      </c>
      <c r="Q44" s="33">
        <f t="shared" si="4"/>
        <v>664.50240000000019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0"/>
        <v>2519.2799999999997</v>
      </c>
      <c r="F45" s="8">
        <f t="shared" si="5"/>
        <v>419.88</v>
      </c>
      <c r="G45" s="9">
        <f t="shared" si="1"/>
        <v>2939.16</v>
      </c>
      <c r="H45" s="37">
        <v>3222.4</v>
      </c>
      <c r="I45" s="10">
        <v>75</v>
      </c>
      <c r="J45" s="10">
        <v>70</v>
      </c>
      <c r="K45" s="11"/>
      <c r="L45" s="12">
        <v>357.14</v>
      </c>
      <c r="M45" s="13">
        <f t="shared" si="6"/>
        <v>1989.7399999999998</v>
      </c>
      <c r="N45" s="14">
        <f t="shared" si="2"/>
        <v>5212.1399999999994</v>
      </c>
      <c r="O45" s="5" t="s">
        <v>47</v>
      </c>
      <c r="P45" s="33">
        <f t="shared" si="3"/>
        <v>198.97399999999999</v>
      </c>
      <c r="Q45" s="33">
        <f t="shared" si="4"/>
        <v>214.89192</v>
      </c>
    </row>
    <row r="46" spans="1:17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0"/>
        <v>2519.2799999999997</v>
      </c>
      <c r="F46" s="8">
        <f t="shared" si="5"/>
        <v>419.88</v>
      </c>
      <c r="G46" s="9">
        <f t="shared" si="1"/>
        <v>2939.16</v>
      </c>
      <c r="H46" s="37">
        <v>3222.2</v>
      </c>
      <c r="I46" s="10">
        <v>0</v>
      </c>
      <c r="J46" s="10">
        <v>0</v>
      </c>
      <c r="K46" s="11"/>
      <c r="L46" s="12">
        <v>285.70999999999998</v>
      </c>
      <c r="M46" s="13">
        <f t="shared" si="6"/>
        <v>1063.5100000000002</v>
      </c>
      <c r="N46" s="14">
        <f t="shared" si="2"/>
        <v>4285.71</v>
      </c>
      <c r="O46" s="5" t="s">
        <v>47</v>
      </c>
      <c r="P46" s="33">
        <f t="shared" si="3"/>
        <v>106.35100000000003</v>
      </c>
      <c r="Q46" s="33">
        <f t="shared" si="4"/>
        <v>114.85908000000003</v>
      </c>
    </row>
    <row r="47" spans="1:17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0"/>
        <v>2519.2799999999997</v>
      </c>
      <c r="F47" s="8">
        <f t="shared" si="5"/>
        <v>419.88</v>
      </c>
      <c r="G47" s="9">
        <f t="shared" si="1"/>
        <v>2939.16</v>
      </c>
      <c r="H47" s="37">
        <v>3222.4</v>
      </c>
      <c r="I47" s="10">
        <v>0</v>
      </c>
      <c r="J47" s="10">
        <v>0</v>
      </c>
      <c r="K47" s="11"/>
      <c r="L47" s="12">
        <v>285.70999999999998</v>
      </c>
      <c r="M47" s="13">
        <f t="shared" si="6"/>
        <v>1063.31</v>
      </c>
      <c r="N47" s="14">
        <f t="shared" si="2"/>
        <v>4285.71</v>
      </c>
      <c r="O47" s="5" t="s">
        <v>47</v>
      </c>
      <c r="P47" s="33">
        <f t="shared" si="3"/>
        <v>106.331</v>
      </c>
      <c r="Q47" s="33">
        <f t="shared" si="4"/>
        <v>114.83748000000001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0"/>
        <v>2519.2799999999997</v>
      </c>
      <c r="F48" s="8">
        <f t="shared" si="5"/>
        <v>419.88</v>
      </c>
      <c r="G48" s="9">
        <f t="shared" si="1"/>
        <v>2939.16</v>
      </c>
      <c r="H48" s="37">
        <v>3222.2</v>
      </c>
      <c r="I48" s="10">
        <v>375</v>
      </c>
      <c r="J48" s="10">
        <v>0</v>
      </c>
      <c r="K48" s="11"/>
      <c r="L48" s="12">
        <v>285.70999999999998</v>
      </c>
      <c r="M48" s="13">
        <f t="shared" si="6"/>
        <v>688.51000000000022</v>
      </c>
      <c r="N48" s="14">
        <f t="shared" si="2"/>
        <v>3910.71</v>
      </c>
      <c r="O48" s="5" t="s">
        <v>47</v>
      </c>
      <c r="P48" s="33">
        <f t="shared" si="3"/>
        <v>68.851000000000028</v>
      </c>
      <c r="Q48" s="33">
        <f t="shared" si="4"/>
        <v>74.359080000000034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0"/>
        <v>2519.2799999999997</v>
      </c>
      <c r="F49" s="8">
        <f t="shared" si="5"/>
        <v>419.88</v>
      </c>
      <c r="G49" s="9">
        <f t="shared" si="1"/>
        <v>2939.16</v>
      </c>
      <c r="H49" s="37">
        <v>3222.2</v>
      </c>
      <c r="I49" s="10">
        <v>375</v>
      </c>
      <c r="J49" s="10">
        <v>175</v>
      </c>
      <c r="K49" s="11"/>
      <c r="L49" s="12">
        <v>357.14</v>
      </c>
      <c r="M49" s="13">
        <f t="shared" si="6"/>
        <v>1584.94</v>
      </c>
      <c r="N49" s="14">
        <f t="shared" si="2"/>
        <v>4807.1399999999994</v>
      </c>
      <c r="O49" s="5" t="s">
        <v>47</v>
      </c>
      <c r="P49" s="33">
        <f t="shared" si="3"/>
        <v>158.49400000000003</v>
      </c>
      <c r="Q49" s="33">
        <f t="shared" si="4"/>
        <v>171.17352000000005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0"/>
        <v>2519.2799999999997</v>
      </c>
      <c r="F50" s="8">
        <f t="shared" si="5"/>
        <v>419.88</v>
      </c>
      <c r="G50" s="9">
        <f t="shared" si="1"/>
        <v>2939.16</v>
      </c>
      <c r="H50" s="37">
        <v>3222.2</v>
      </c>
      <c r="I50" s="10">
        <v>0</v>
      </c>
      <c r="J50" s="10">
        <v>0</v>
      </c>
      <c r="K50" s="11"/>
      <c r="L50" s="12">
        <v>250</v>
      </c>
      <c r="M50" s="13">
        <f t="shared" si="6"/>
        <v>527.80000000000018</v>
      </c>
      <c r="N50" s="14">
        <f t="shared" si="2"/>
        <v>3750</v>
      </c>
      <c r="O50" s="5" t="s">
        <v>47</v>
      </c>
      <c r="P50" s="33">
        <f t="shared" si="3"/>
        <v>52.780000000000022</v>
      </c>
      <c r="Q50" s="33">
        <f t="shared" si="4"/>
        <v>57.00240000000003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0"/>
        <v>2519.2799999999997</v>
      </c>
      <c r="F51" s="8">
        <f t="shared" si="5"/>
        <v>419.88</v>
      </c>
      <c r="G51" s="9">
        <f t="shared" si="1"/>
        <v>2939.16</v>
      </c>
      <c r="H51" s="37">
        <v>3222.2</v>
      </c>
      <c r="I51" s="10">
        <v>0</v>
      </c>
      <c r="J51" s="10">
        <v>0</v>
      </c>
      <c r="K51" s="11"/>
      <c r="L51" s="12">
        <f>250+588.83</f>
        <v>838.83</v>
      </c>
      <c r="M51" s="13">
        <f t="shared" si="6"/>
        <v>1116.6300000000001</v>
      </c>
      <c r="N51" s="14">
        <f t="shared" si="2"/>
        <v>4338.83</v>
      </c>
      <c r="O51" s="5" t="s">
        <v>47</v>
      </c>
      <c r="P51" s="33">
        <f t="shared" si="3"/>
        <v>111.66300000000001</v>
      </c>
      <c r="Q51" s="33">
        <f t="shared" si="4"/>
        <v>120.59604000000002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0"/>
        <v>2519.2799999999997</v>
      </c>
      <c r="F52" s="8">
        <f t="shared" si="5"/>
        <v>419.88</v>
      </c>
      <c r="G52" s="9">
        <f t="shared" si="1"/>
        <v>2939.16</v>
      </c>
      <c r="H52" s="37">
        <v>3222.2</v>
      </c>
      <c r="I52" s="10">
        <v>0</v>
      </c>
      <c r="J52" s="10">
        <v>140</v>
      </c>
      <c r="K52" s="11"/>
      <c r="L52" s="19">
        <v>303.57</v>
      </c>
      <c r="M52" s="13">
        <f t="shared" si="6"/>
        <v>1191.3700000000001</v>
      </c>
      <c r="N52" s="14">
        <f t="shared" si="2"/>
        <v>4413.57</v>
      </c>
      <c r="O52" s="5" t="s">
        <v>47</v>
      </c>
      <c r="P52" s="33">
        <f t="shared" si="3"/>
        <v>119.13700000000001</v>
      </c>
      <c r="Q52" s="33">
        <f t="shared" si="4"/>
        <v>128.66796000000002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0"/>
        <v>2519.2799999999997</v>
      </c>
      <c r="F53" s="8">
        <f t="shared" si="5"/>
        <v>419.88</v>
      </c>
      <c r="G53" s="9">
        <f t="shared" si="1"/>
        <v>2939.16</v>
      </c>
      <c r="H53" s="37">
        <v>3222.2</v>
      </c>
      <c r="I53" s="10">
        <v>75</v>
      </c>
      <c r="J53" s="10">
        <v>105</v>
      </c>
      <c r="K53" s="11"/>
      <c r="L53" s="12">
        <v>285.70999999999998</v>
      </c>
      <c r="M53" s="13">
        <f>C53-H53-I53+L53-K53-J53</f>
        <v>883.51000000000022</v>
      </c>
      <c r="N53" s="14">
        <f t="shared" si="2"/>
        <v>4105.71</v>
      </c>
      <c r="O53" s="5" t="s">
        <v>47</v>
      </c>
      <c r="P53" s="33">
        <f t="shared" si="3"/>
        <v>88.351000000000028</v>
      </c>
      <c r="Q53" s="33">
        <f t="shared" si="4"/>
        <v>95.419080000000037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0"/>
        <v>2519.2799999999997</v>
      </c>
      <c r="F54" s="8">
        <f t="shared" si="5"/>
        <v>419.88</v>
      </c>
      <c r="G54" s="9">
        <f t="shared" si="1"/>
        <v>2939.16</v>
      </c>
      <c r="H54" s="37">
        <v>3222.2</v>
      </c>
      <c r="I54" s="10">
        <v>375</v>
      </c>
      <c r="J54" s="10"/>
      <c r="K54" s="11"/>
      <c r="L54" s="12">
        <v>285.70999999999998</v>
      </c>
      <c r="M54" s="13">
        <f>C54-H54-I54+L54-K54-J54</f>
        <v>688.51000000000022</v>
      </c>
      <c r="N54" s="14">
        <f t="shared" si="2"/>
        <v>3910.71</v>
      </c>
      <c r="O54" s="5" t="s">
        <v>47</v>
      </c>
      <c r="P54" s="33">
        <f t="shared" si="3"/>
        <v>68.851000000000028</v>
      </c>
      <c r="Q54" s="33">
        <f t="shared" si="4"/>
        <v>74.359080000000034</v>
      </c>
    </row>
    <row r="55" spans="1:18" ht="16.149999999999999" customHeight="1" thickBot="1" x14ac:dyDescent="0.3"/>
    <row r="56" spans="1:18" ht="18" thickBot="1" x14ac:dyDescent="0.35">
      <c r="A56" s="23"/>
      <c r="B56" s="24"/>
      <c r="C56" s="25">
        <f t="shared" ref="C56:N56" si="7">SUM(C4:C55)</f>
        <v>256625</v>
      </c>
      <c r="D56" s="25">
        <f t="shared" si="7"/>
        <v>21413.879999999997</v>
      </c>
      <c r="E56" s="25">
        <f t="shared" si="7"/>
        <v>128483.27999999996</v>
      </c>
      <c r="F56" s="25">
        <f t="shared" si="7"/>
        <v>21413.879999999997</v>
      </c>
      <c r="G56" s="25">
        <f t="shared" si="7"/>
        <v>149897.16000000012</v>
      </c>
      <c r="H56" s="25">
        <f t="shared" si="7"/>
        <v>158902</v>
      </c>
      <c r="I56" s="26">
        <f t="shared" si="7"/>
        <v>8625</v>
      </c>
      <c r="J56" s="26">
        <f t="shared" si="7"/>
        <v>4060</v>
      </c>
      <c r="K56" s="26">
        <f t="shared" si="7"/>
        <v>4993.2499999999991</v>
      </c>
      <c r="L56" s="27">
        <f t="shared" si="7"/>
        <v>20883.369999999988</v>
      </c>
      <c r="M56" s="25">
        <f t="shared" si="7"/>
        <v>100928.12000000001</v>
      </c>
      <c r="N56" s="25">
        <f t="shared" si="7"/>
        <v>259830.11999999997</v>
      </c>
      <c r="P56" s="25">
        <f>SUM(P4:P55)</f>
        <v>10092.812000000004</v>
      </c>
      <c r="Q56" s="25">
        <f>SUM(Q4:Q55)</f>
        <v>10900.236960000002</v>
      </c>
      <c r="R56" s="55">
        <f>+N56+Q56</f>
        <v>270730.35695999995</v>
      </c>
    </row>
    <row r="57" spans="1:18" x14ac:dyDescent="0.25">
      <c r="H57" s="15"/>
      <c r="M57" s="15"/>
    </row>
    <row r="58" spans="1:18" x14ac:dyDescent="0.25">
      <c r="H58" s="15"/>
      <c r="I58">
        <f>+I56/75</f>
        <v>115</v>
      </c>
      <c r="J58" s="28">
        <f>SUM(J56)/35</f>
        <v>116</v>
      </c>
      <c r="R58" s="55">
        <v>12886.8</v>
      </c>
    </row>
    <row r="59" spans="1:18" x14ac:dyDescent="0.25">
      <c r="F59" s="15"/>
      <c r="H59" s="15">
        <f>H56+M56</f>
        <v>259830.12</v>
      </c>
      <c r="K59" s="15"/>
    </row>
    <row r="60" spans="1:18" x14ac:dyDescent="0.25">
      <c r="H60" s="15">
        <f>'[1]Nom 9'!H53</f>
        <v>131178.05999999994</v>
      </c>
      <c r="I60" s="40"/>
      <c r="J60" s="15"/>
    </row>
    <row r="61" spans="1:18" x14ac:dyDescent="0.25">
      <c r="H61" s="15">
        <f>[2]Rino!H8</f>
        <v>75398.810000000012</v>
      </c>
    </row>
    <row r="62" spans="1:18" x14ac:dyDescent="0.25">
      <c r="H62" s="15">
        <f>H60+H61</f>
        <v>206576.86999999994</v>
      </c>
    </row>
    <row r="67" spans="10:10" x14ac:dyDescent="0.25">
      <c r="J67" s="15" t="e">
        <f>(H56-#REF!-#REF!)+3354.4+2879</f>
        <v>#REF!</v>
      </c>
    </row>
  </sheetData>
  <autoFilter ref="A3:Q54" xr:uid="{00000000-0009-0000-0000-00000F000000}"/>
  <mergeCells count="2">
    <mergeCell ref="A1:N1"/>
    <mergeCell ref="A2:N2"/>
  </mergeCells>
  <pageMargins left="0.7" right="0.7" top="0.75" bottom="0.75" header="0.3" footer="0.3"/>
  <pageSetup scale="54" fitToHeight="0" orientation="landscape" verticalDpi="0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>
    <pageSetUpPr fitToPage="1"/>
  </sheetPr>
  <dimension ref="A1:U67"/>
  <sheetViews>
    <sheetView showGridLines="0" topLeftCell="A32" workbookViewId="0">
      <selection activeCell="O30" sqref="O30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11" max="11" width="12.42578125" bestFit="1" customWidth="1"/>
    <col min="12" max="12" width="17.5703125" bestFit="1" customWidth="1"/>
    <col min="13" max="13" width="20.5703125" bestFit="1" customWidth="1"/>
    <col min="14" max="14" width="17.5703125" bestFit="1" customWidth="1"/>
    <col min="15" max="15" width="17.7109375" bestFit="1" customWidth="1"/>
    <col min="16" max="17" width="11.42578125" customWidth="1"/>
    <col min="18" max="18" width="8" hidden="1" customWidth="1"/>
    <col min="19" max="19" width="11.42578125" hidden="1" customWidth="1"/>
    <col min="20" max="20" width="11.42578125" customWidth="1"/>
  </cols>
  <sheetData>
    <row r="1" spans="1:21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</row>
    <row r="2" spans="1:21" x14ac:dyDescent="0.25">
      <c r="A2" s="132" t="s">
        <v>92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</row>
    <row r="3" spans="1:21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93</v>
      </c>
      <c r="J3" s="2" t="s">
        <v>94</v>
      </c>
      <c r="K3" s="2" t="s">
        <v>7</v>
      </c>
      <c r="L3" s="2" t="s">
        <v>8</v>
      </c>
      <c r="M3" s="2" t="s">
        <v>9</v>
      </c>
      <c r="N3" s="4" t="s">
        <v>10</v>
      </c>
      <c r="O3" s="2" t="s">
        <v>11</v>
      </c>
      <c r="P3" s="2" t="s">
        <v>95</v>
      </c>
      <c r="Q3" s="2" t="s">
        <v>12</v>
      </c>
      <c r="R3" s="32" t="s">
        <v>46</v>
      </c>
      <c r="S3" s="2" t="s">
        <v>51</v>
      </c>
      <c r="T3" s="35" t="s">
        <v>52</v>
      </c>
      <c r="U3" s="35" t="s">
        <v>96</v>
      </c>
    </row>
    <row r="4" spans="1:21" x14ac:dyDescent="0.25">
      <c r="A4" s="5">
        <v>6</v>
      </c>
      <c r="B4" s="6" t="s">
        <v>14</v>
      </c>
      <c r="C4" s="7">
        <v>4000</v>
      </c>
      <c r="D4" s="7">
        <v>419.88</v>
      </c>
      <c r="E4" s="8">
        <f t="shared" ref="E4:E54" si="0">D4*6</f>
        <v>2519.2799999999997</v>
      </c>
      <c r="F4" s="8">
        <f>D4</f>
        <v>419.88</v>
      </c>
      <c r="G4" s="9">
        <f t="shared" ref="G4:G54" si="1">E4+F4</f>
        <v>2939.16</v>
      </c>
      <c r="H4" s="37">
        <v>3222.2</v>
      </c>
      <c r="I4" s="85">
        <v>3432.2</v>
      </c>
      <c r="J4" s="85">
        <v>210</v>
      </c>
      <c r="K4" s="10">
        <v>375</v>
      </c>
      <c r="L4" s="10">
        <v>0</v>
      </c>
      <c r="M4" s="11"/>
      <c r="N4" s="12">
        <v>285.70999999999998</v>
      </c>
      <c r="O4" s="13">
        <f>C4-I4-K4+N4-M4-L4</f>
        <v>478.51000000000016</v>
      </c>
      <c r="P4" s="13">
        <f>+'Nom 16'!M4-'Nom 16 corr'!O4</f>
        <v>210.00000000000006</v>
      </c>
      <c r="Q4" s="97">
        <f>I4+O4</f>
        <v>3910.71</v>
      </c>
      <c r="R4" s="29" t="s">
        <v>47</v>
      </c>
      <c r="S4" s="33">
        <f t="shared" ref="S4:S54" si="2">+O4*0.1</f>
        <v>47.85100000000002</v>
      </c>
      <c r="T4" s="33">
        <f t="shared" ref="T4:T54" si="3">+S4*1.08</f>
        <v>51.679080000000027</v>
      </c>
      <c r="U4" s="33">
        <f>+'Nom 16'!Q4-'Nom 16 corr'!T4</f>
        <v>22.680000000000007</v>
      </c>
    </row>
    <row r="5" spans="1:21" x14ac:dyDescent="0.25">
      <c r="A5" s="36">
        <v>14</v>
      </c>
      <c r="B5" s="6" t="s">
        <v>15</v>
      </c>
      <c r="C5" s="7">
        <v>15000</v>
      </c>
      <c r="D5" s="7">
        <v>419.88</v>
      </c>
      <c r="E5" s="8">
        <f t="shared" si="0"/>
        <v>2519.2799999999997</v>
      </c>
      <c r="F5" s="8">
        <f t="shared" ref="F5:F54" si="4">D5</f>
        <v>419.88</v>
      </c>
      <c r="G5" s="9">
        <f t="shared" si="1"/>
        <v>2939.16</v>
      </c>
      <c r="H5" s="38">
        <v>3222.2</v>
      </c>
      <c r="I5" s="86">
        <v>3432</v>
      </c>
      <c r="J5" s="85">
        <v>209.80000000000018</v>
      </c>
      <c r="K5" s="10">
        <v>75</v>
      </c>
      <c r="L5" s="10">
        <v>105</v>
      </c>
      <c r="M5" s="11"/>
      <c r="N5" s="12">
        <v>1071.43</v>
      </c>
      <c r="O5" s="13">
        <f t="shared" ref="O5:O54" si="5">C5-I5-K5+N5-M5-L5</f>
        <v>12459.43</v>
      </c>
      <c r="P5" s="13">
        <f>+'Nom 16'!M5-'Nom 16 corr'!O5</f>
        <v>209.79999999999927</v>
      </c>
      <c r="Q5" s="97">
        <f t="shared" ref="Q5:Q54" si="6">I5+O5</f>
        <v>15891.43</v>
      </c>
      <c r="R5" s="30" t="s">
        <v>47</v>
      </c>
      <c r="S5" s="33">
        <f t="shared" si="2"/>
        <v>1245.9430000000002</v>
      </c>
      <c r="T5" s="33">
        <f t="shared" si="3"/>
        <v>1345.6184400000004</v>
      </c>
      <c r="U5" s="33">
        <f>+'Nom 16'!Q5-'Nom 16 corr'!T5</f>
        <v>22.658399999999574</v>
      </c>
    </row>
    <row r="6" spans="1:21" ht="15" customHeight="1" x14ac:dyDescent="0.25">
      <c r="A6" s="36">
        <v>24</v>
      </c>
      <c r="B6" s="6" t="s">
        <v>16</v>
      </c>
      <c r="C6" s="7">
        <v>4000</v>
      </c>
      <c r="D6" s="7">
        <v>419.88</v>
      </c>
      <c r="E6" s="8">
        <f t="shared" si="0"/>
        <v>2519.2799999999997</v>
      </c>
      <c r="F6" s="8">
        <f t="shared" si="4"/>
        <v>419.88</v>
      </c>
      <c r="G6" s="9">
        <f t="shared" si="1"/>
        <v>2939.16</v>
      </c>
      <c r="H6" s="38">
        <v>3222.2</v>
      </c>
      <c r="I6" s="86">
        <v>3432.2</v>
      </c>
      <c r="J6" s="85">
        <v>210</v>
      </c>
      <c r="K6" s="10">
        <v>150</v>
      </c>
      <c r="L6" s="10">
        <v>105</v>
      </c>
      <c r="M6" s="21"/>
      <c r="N6" s="12">
        <v>285.70999999999998</v>
      </c>
      <c r="O6" s="13">
        <f t="shared" si="5"/>
        <v>598.51000000000022</v>
      </c>
      <c r="P6" s="13">
        <f>+'Nom 16'!M6-'Nom 16 corr'!O6</f>
        <v>210</v>
      </c>
      <c r="Q6" s="97">
        <f t="shared" si="6"/>
        <v>4030.71</v>
      </c>
      <c r="R6" s="36" t="s">
        <v>47</v>
      </c>
      <c r="S6" s="33">
        <f t="shared" si="2"/>
        <v>59.851000000000028</v>
      </c>
      <c r="T6" s="33">
        <f t="shared" si="3"/>
        <v>64.639080000000035</v>
      </c>
      <c r="U6" s="33">
        <f>+'Nom 16'!Q6-'Nom 16 corr'!T6</f>
        <v>22.680000000000007</v>
      </c>
    </row>
    <row r="7" spans="1:21" x14ac:dyDescent="0.25">
      <c r="A7" s="36">
        <v>43</v>
      </c>
      <c r="B7" s="6" t="s">
        <v>17</v>
      </c>
      <c r="C7" s="7">
        <v>4500</v>
      </c>
      <c r="D7" s="7">
        <v>419.88</v>
      </c>
      <c r="E7" s="8">
        <f t="shared" si="0"/>
        <v>2519.2799999999997</v>
      </c>
      <c r="F7" s="8">
        <f t="shared" si="4"/>
        <v>419.88</v>
      </c>
      <c r="G7" s="9">
        <f t="shared" si="1"/>
        <v>2939.16</v>
      </c>
      <c r="H7" s="37">
        <v>3222.2</v>
      </c>
      <c r="I7" s="85">
        <v>3432</v>
      </c>
      <c r="J7" s="85">
        <v>209.80000000000018</v>
      </c>
      <c r="K7" s="10">
        <v>375</v>
      </c>
      <c r="L7" s="10">
        <v>70</v>
      </c>
      <c r="M7" s="11"/>
      <c r="N7" s="12">
        <v>321.43</v>
      </c>
      <c r="O7" s="13">
        <f t="shared" si="5"/>
        <v>944.43000000000006</v>
      </c>
      <c r="P7" s="13">
        <f>+'Nom 16'!M7-'Nom 16 corr'!O7</f>
        <v>209.80000000000018</v>
      </c>
      <c r="Q7" s="97">
        <f t="shared" si="6"/>
        <v>4376.43</v>
      </c>
      <c r="R7" s="30" t="s">
        <v>47</v>
      </c>
      <c r="S7" s="33">
        <f t="shared" si="2"/>
        <v>94.443000000000012</v>
      </c>
      <c r="T7" s="33">
        <f t="shared" si="3"/>
        <v>101.99844000000002</v>
      </c>
      <c r="U7" s="33">
        <f>+'Nom 16'!Q7-'Nom 16 corr'!T7</f>
        <v>22.658400000000029</v>
      </c>
    </row>
    <row r="8" spans="1:21" ht="15.6" customHeight="1" x14ac:dyDescent="0.25">
      <c r="A8" s="36">
        <v>52</v>
      </c>
      <c r="B8" s="6" t="s">
        <v>18</v>
      </c>
      <c r="C8" s="7">
        <v>4000</v>
      </c>
      <c r="D8" s="7">
        <v>419.88</v>
      </c>
      <c r="E8" s="8">
        <f t="shared" si="0"/>
        <v>2519.2799999999997</v>
      </c>
      <c r="F8" s="8">
        <f t="shared" si="4"/>
        <v>419.88</v>
      </c>
      <c r="G8" s="9">
        <f t="shared" si="1"/>
        <v>2939.16</v>
      </c>
      <c r="H8" s="37">
        <v>2793.8</v>
      </c>
      <c r="I8" s="85">
        <v>3003.6</v>
      </c>
      <c r="J8" s="85">
        <v>209.79999999999973</v>
      </c>
      <c r="K8" s="10">
        <v>75</v>
      </c>
      <c r="L8" s="10">
        <v>210</v>
      </c>
      <c r="M8" s="16">
        <v>467.68</v>
      </c>
      <c r="N8" s="12">
        <v>285.70999999999998</v>
      </c>
      <c r="O8" s="13">
        <f t="shared" si="5"/>
        <v>529.43000000000006</v>
      </c>
      <c r="P8" s="13">
        <f>+'Nom 16'!M8-'Nom 16 corr'!O8</f>
        <v>209.79999999999973</v>
      </c>
      <c r="Q8" s="97">
        <f t="shared" si="6"/>
        <v>3533.0299999999997</v>
      </c>
      <c r="R8" s="30" t="s">
        <v>47</v>
      </c>
      <c r="S8" s="33">
        <f t="shared" si="2"/>
        <v>52.943000000000012</v>
      </c>
      <c r="T8" s="33">
        <f t="shared" si="3"/>
        <v>57.178440000000016</v>
      </c>
      <c r="U8" s="33">
        <f>+'Nom 16'!Q8-'Nom 16 corr'!T8</f>
        <v>22.658399999999979</v>
      </c>
    </row>
    <row r="9" spans="1:21" x14ac:dyDescent="0.25">
      <c r="A9" s="5">
        <v>62</v>
      </c>
      <c r="B9" s="17" t="s">
        <v>19</v>
      </c>
      <c r="C9" s="7">
        <v>4000</v>
      </c>
      <c r="D9" s="7">
        <v>419.88</v>
      </c>
      <c r="E9" s="8">
        <f t="shared" si="0"/>
        <v>2519.2799999999997</v>
      </c>
      <c r="F9" s="8">
        <f t="shared" si="4"/>
        <v>419.88</v>
      </c>
      <c r="G9" s="9">
        <f t="shared" si="1"/>
        <v>2939.16</v>
      </c>
      <c r="H9" s="37">
        <v>3222.2</v>
      </c>
      <c r="I9" s="85">
        <v>3432.2</v>
      </c>
      <c r="J9" s="85">
        <v>210</v>
      </c>
      <c r="K9" s="10">
        <v>0</v>
      </c>
      <c r="L9" s="10">
        <v>0</v>
      </c>
      <c r="M9" s="20"/>
      <c r="N9" s="12">
        <v>285.70999999999998</v>
      </c>
      <c r="O9" s="13">
        <f t="shared" si="5"/>
        <v>853.51000000000022</v>
      </c>
      <c r="P9" s="13">
        <f>+'Nom 16'!M9-'Nom 16 corr'!O9</f>
        <v>210</v>
      </c>
      <c r="Q9" s="97">
        <f t="shared" si="6"/>
        <v>4285.71</v>
      </c>
      <c r="R9" s="30" t="s">
        <v>49</v>
      </c>
      <c r="S9" s="33">
        <f t="shared" si="2"/>
        <v>85.351000000000028</v>
      </c>
      <c r="T9" s="33">
        <f t="shared" si="3"/>
        <v>92.179080000000042</v>
      </c>
      <c r="U9" s="33">
        <f>+'Nom 16'!Q9-'Nom 16 corr'!T9</f>
        <v>22.679999999999993</v>
      </c>
    </row>
    <row r="10" spans="1:21" x14ac:dyDescent="0.25">
      <c r="A10" s="5">
        <v>109</v>
      </c>
      <c r="B10" s="17" t="s">
        <v>20</v>
      </c>
      <c r="C10" s="7">
        <v>7000</v>
      </c>
      <c r="D10" s="7">
        <v>419.88</v>
      </c>
      <c r="E10" s="8">
        <f t="shared" si="0"/>
        <v>2519.2799999999997</v>
      </c>
      <c r="F10" s="8">
        <f t="shared" si="4"/>
        <v>419.88</v>
      </c>
      <c r="G10" s="9">
        <f t="shared" si="1"/>
        <v>2939.16</v>
      </c>
      <c r="H10" s="37">
        <v>3222.2</v>
      </c>
      <c r="I10" s="85">
        <v>3432.2</v>
      </c>
      <c r="J10" s="85">
        <v>210</v>
      </c>
      <c r="K10" s="10">
        <v>150</v>
      </c>
      <c r="L10" s="10">
        <v>70</v>
      </c>
      <c r="M10" s="11"/>
      <c r="N10" s="12">
        <v>500</v>
      </c>
      <c r="O10" s="13">
        <f t="shared" si="5"/>
        <v>3847.8</v>
      </c>
      <c r="P10" s="13">
        <f>+'Nom 16'!M10-'Nom 16 corr'!O10</f>
        <v>210</v>
      </c>
      <c r="Q10" s="97">
        <f t="shared" si="6"/>
        <v>7280</v>
      </c>
      <c r="R10" s="30" t="s">
        <v>47</v>
      </c>
      <c r="S10" s="33">
        <f t="shared" si="2"/>
        <v>384.78000000000003</v>
      </c>
      <c r="T10" s="33">
        <f t="shared" si="3"/>
        <v>415.56240000000008</v>
      </c>
      <c r="U10" s="33">
        <f>+'Nom 16'!Q10-'Nom 16 corr'!T10</f>
        <v>22.680000000000007</v>
      </c>
    </row>
    <row r="11" spans="1:21" x14ac:dyDescent="0.25">
      <c r="A11" s="5">
        <v>114</v>
      </c>
      <c r="B11" s="17" t="s">
        <v>21</v>
      </c>
      <c r="C11" s="7">
        <v>5000</v>
      </c>
      <c r="D11" s="7">
        <v>419.88</v>
      </c>
      <c r="E11" s="8">
        <f t="shared" si="0"/>
        <v>2519.2799999999997</v>
      </c>
      <c r="F11" s="8">
        <f t="shared" si="4"/>
        <v>419.88</v>
      </c>
      <c r="G11" s="9">
        <f t="shared" si="1"/>
        <v>2939.16</v>
      </c>
      <c r="H11" s="37">
        <v>3222.2</v>
      </c>
      <c r="I11" s="85">
        <v>3432.2</v>
      </c>
      <c r="J11" s="85">
        <v>210</v>
      </c>
      <c r="K11" s="10">
        <v>150</v>
      </c>
      <c r="L11" s="10">
        <v>70</v>
      </c>
      <c r="M11" s="11"/>
      <c r="N11" s="12">
        <v>357.14</v>
      </c>
      <c r="O11" s="13">
        <f t="shared" si="5"/>
        <v>1704.94</v>
      </c>
      <c r="P11" s="13">
        <f>+'Nom 16'!M11-'Nom 16 corr'!O11</f>
        <v>210</v>
      </c>
      <c r="Q11" s="97">
        <f t="shared" si="6"/>
        <v>5137.1399999999994</v>
      </c>
      <c r="R11" s="30" t="s">
        <v>47</v>
      </c>
      <c r="S11" s="33">
        <f t="shared" si="2"/>
        <v>170.49400000000003</v>
      </c>
      <c r="T11" s="33">
        <f t="shared" si="3"/>
        <v>184.13352000000003</v>
      </c>
      <c r="U11" s="33">
        <f>+'Nom 16'!Q11-'Nom 16 corr'!T11</f>
        <v>22.680000000000007</v>
      </c>
    </row>
    <row r="12" spans="1:21" x14ac:dyDescent="0.25">
      <c r="A12" s="5">
        <v>131</v>
      </c>
      <c r="B12" s="17" t="s">
        <v>22</v>
      </c>
      <c r="C12" s="7">
        <v>3500</v>
      </c>
      <c r="D12" s="7">
        <v>419.88</v>
      </c>
      <c r="E12" s="8">
        <f t="shared" si="0"/>
        <v>2519.2799999999997</v>
      </c>
      <c r="F12" s="8">
        <f t="shared" si="4"/>
        <v>419.88</v>
      </c>
      <c r="G12" s="9">
        <f t="shared" si="1"/>
        <v>2939.16</v>
      </c>
      <c r="H12" s="37">
        <v>3222.2</v>
      </c>
      <c r="I12" s="85">
        <v>3432.2</v>
      </c>
      <c r="J12" s="85">
        <v>210</v>
      </c>
      <c r="K12" s="10">
        <v>75</v>
      </c>
      <c r="L12" s="10">
        <v>105</v>
      </c>
      <c r="M12" s="21"/>
      <c r="N12" s="12">
        <v>250</v>
      </c>
      <c r="O12" s="13">
        <f t="shared" si="5"/>
        <v>137.80000000000018</v>
      </c>
      <c r="P12" s="13">
        <f>+'Nom 16'!M12-'Nom 16 corr'!O12</f>
        <v>210</v>
      </c>
      <c r="Q12" s="97">
        <f t="shared" si="6"/>
        <v>3570</v>
      </c>
      <c r="R12" s="30" t="s">
        <v>47</v>
      </c>
      <c r="S12" s="33">
        <f t="shared" si="2"/>
        <v>13.780000000000019</v>
      </c>
      <c r="T12" s="33">
        <f t="shared" si="3"/>
        <v>14.882400000000022</v>
      </c>
      <c r="U12" s="33">
        <f>+'Nom 16'!Q12-'Nom 16 corr'!T12</f>
        <v>22.680000000000003</v>
      </c>
    </row>
    <row r="13" spans="1:21" x14ac:dyDescent="0.25">
      <c r="A13" s="36">
        <v>149</v>
      </c>
      <c r="B13" s="6" t="s">
        <v>23</v>
      </c>
      <c r="C13" s="7">
        <v>4000</v>
      </c>
      <c r="D13" s="7">
        <v>419.88</v>
      </c>
      <c r="E13" s="8">
        <f t="shared" si="0"/>
        <v>2519.2799999999997</v>
      </c>
      <c r="F13" s="8">
        <f t="shared" si="4"/>
        <v>419.88</v>
      </c>
      <c r="G13" s="9">
        <f t="shared" si="1"/>
        <v>2939.16</v>
      </c>
      <c r="H13" s="38">
        <v>2879</v>
      </c>
      <c r="I13" s="86">
        <v>3089</v>
      </c>
      <c r="J13" s="85">
        <v>210</v>
      </c>
      <c r="K13" s="10">
        <v>225</v>
      </c>
      <c r="L13" s="10">
        <v>210</v>
      </c>
      <c r="M13" s="21">
        <v>419.88</v>
      </c>
      <c r="N13" s="12">
        <v>285.70999999999998</v>
      </c>
      <c r="O13" s="13">
        <f t="shared" si="5"/>
        <v>341.83000000000004</v>
      </c>
      <c r="P13" s="13">
        <f>+'Nom 16'!M13-'Nom 16 corr'!O13</f>
        <v>210</v>
      </c>
      <c r="Q13" s="97">
        <f t="shared" si="6"/>
        <v>3430.83</v>
      </c>
      <c r="R13" s="36" t="s">
        <v>47</v>
      </c>
      <c r="S13" s="33">
        <f t="shared" si="2"/>
        <v>34.183000000000007</v>
      </c>
      <c r="T13" s="33">
        <f t="shared" si="3"/>
        <v>36.917640000000013</v>
      </c>
      <c r="U13" s="33">
        <f>+'Nom 16'!Q13-'Nom 16 corr'!T13</f>
        <v>22.68</v>
      </c>
    </row>
    <row r="14" spans="1:21" x14ac:dyDescent="0.25">
      <c r="A14" s="5">
        <v>150</v>
      </c>
      <c r="B14" s="6" t="s">
        <v>24</v>
      </c>
      <c r="C14" s="7">
        <v>4000</v>
      </c>
      <c r="D14" s="7">
        <v>419.88</v>
      </c>
      <c r="E14" s="8">
        <f t="shared" si="0"/>
        <v>2519.2799999999997</v>
      </c>
      <c r="F14" s="8">
        <f t="shared" si="4"/>
        <v>419.88</v>
      </c>
      <c r="G14" s="9">
        <f t="shared" si="1"/>
        <v>2939.16</v>
      </c>
      <c r="H14" s="37">
        <v>3222.2</v>
      </c>
      <c r="I14" s="85">
        <v>3432.2</v>
      </c>
      <c r="J14" s="85">
        <v>210</v>
      </c>
      <c r="K14" s="10">
        <v>0</v>
      </c>
      <c r="L14" s="10">
        <v>0</v>
      </c>
      <c r="M14" s="11"/>
      <c r="N14" s="12">
        <v>285.70999999999998</v>
      </c>
      <c r="O14" s="13">
        <f t="shared" si="5"/>
        <v>853.51000000000022</v>
      </c>
      <c r="P14" s="13">
        <f>+'Nom 16'!M14-'Nom 16 corr'!O14</f>
        <v>210</v>
      </c>
      <c r="Q14" s="97">
        <f t="shared" si="6"/>
        <v>4285.71</v>
      </c>
      <c r="R14" s="30" t="s">
        <v>47</v>
      </c>
      <c r="S14" s="33">
        <f t="shared" si="2"/>
        <v>85.351000000000028</v>
      </c>
      <c r="T14" s="33">
        <f t="shared" si="3"/>
        <v>92.179080000000042</v>
      </c>
      <c r="U14" s="33">
        <f>+'Nom 16'!Q14-'Nom 16 corr'!T14</f>
        <v>22.679999999999993</v>
      </c>
    </row>
    <row r="15" spans="1:21" x14ac:dyDescent="0.25">
      <c r="A15" s="5">
        <v>151</v>
      </c>
      <c r="B15" s="6" t="s">
        <v>25</v>
      </c>
      <c r="C15" s="7">
        <v>4000</v>
      </c>
      <c r="D15" s="7">
        <v>419.88</v>
      </c>
      <c r="E15" s="8">
        <f t="shared" si="0"/>
        <v>2519.2799999999997</v>
      </c>
      <c r="F15" s="8">
        <f t="shared" si="4"/>
        <v>419.88</v>
      </c>
      <c r="G15" s="9">
        <f t="shared" si="1"/>
        <v>2939.16</v>
      </c>
      <c r="H15" s="37">
        <v>3016.8</v>
      </c>
      <c r="I15" s="85">
        <v>3541.6</v>
      </c>
      <c r="J15" s="85">
        <v>524.79999999999973</v>
      </c>
      <c r="K15" s="10">
        <v>375</v>
      </c>
      <c r="L15" s="10">
        <v>140</v>
      </c>
      <c r="M15" s="21"/>
      <c r="N15" s="12">
        <v>714.29</v>
      </c>
      <c r="O15" s="13">
        <f t="shared" si="5"/>
        <v>657.69</v>
      </c>
      <c r="P15" s="13">
        <f>+'Nom 16'!M15-'Nom 16 corr'!O15</f>
        <v>524.79999999999973</v>
      </c>
      <c r="Q15" s="97">
        <f t="shared" si="6"/>
        <v>4199.29</v>
      </c>
      <c r="R15" s="29" t="s">
        <v>47</v>
      </c>
      <c r="S15" s="33">
        <f t="shared" si="2"/>
        <v>65.769000000000005</v>
      </c>
      <c r="T15" s="33">
        <f t="shared" si="3"/>
        <v>71.03052000000001</v>
      </c>
      <c r="U15" s="33">
        <f>+'Nom 16'!Q15-'Nom 16 corr'!T15</f>
        <v>56.678399999999982</v>
      </c>
    </row>
    <row r="16" spans="1:21" x14ac:dyDescent="0.25">
      <c r="A16" s="5">
        <v>156</v>
      </c>
      <c r="B16" s="6" t="s">
        <v>26</v>
      </c>
      <c r="C16" s="7">
        <v>4000</v>
      </c>
      <c r="D16" s="7">
        <v>419.88</v>
      </c>
      <c r="E16" s="8">
        <f t="shared" si="0"/>
        <v>2519.2799999999997</v>
      </c>
      <c r="F16" s="8">
        <f t="shared" si="4"/>
        <v>419.88</v>
      </c>
      <c r="G16" s="9">
        <f t="shared" si="1"/>
        <v>2939.16</v>
      </c>
      <c r="H16" s="37">
        <v>3222.2</v>
      </c>
      <c r="I16" s="85">
        <v>3432.2</v>
      </c>
      <c r="J16" s="85">
        <v>210</v>
      </c>
      <c r="K16" s="10">
        <v>0</v>
      </c>
      <c r="L16" s="10">
        <v>0</v>
      </c>
      <c r="M16" s="21"/>
      <c r="N16" s="12">
        <v>285.70999999999998</v>
      </c>
      <c r="O16" s="13">
        <f t="shared" si="5"/>
        <v>853.51000000000022</v>
      </c>
      <c r="P16" s="13">
        <f>+'Nom 16'!M16-'Nom 16 corr'!O16</f>
        <v>210</v>
      </c>
      <c r="Q16" s="97">
        <f t="shared" si="6"/>
        <v>4285.71</v>
      </c>
      <c r="R16" s="29" t="s">
        <v>47</v>
      </c>
      <c r="S16" s="33">
        <f t="shared" si="2"/>
        <v>85.351000000000028</v>
      </c>
      <c r="T16" s="33">
        <f t="shared" si="3"/>
        <v>92.179080000000042</v>
      </c>
      <c r="U16" s="33">
        <f>+'Nom 16'!Q16-'Nom 16 corr'!T16</f>
        <v>22.679999999999993</v>
      </c>
    </row>
    <row r="17" spans="1:21" x14ac:dyDescent="0.25">
      <c r="A17" s="5">
        <v>162</v>
      </c>
      <c r="B17" s="6" t="s">
        <v>27</v>
      </c>
      <c r="C17" s="7">
        <v>4000</v>
      </c>
      <c r="D17" s="7">
        <v>419.88</v>
      </c>
      <c r="E17" s="8">
        <f t="shared" si="0"/>
        <v>2519.2799999999997</v>
      </c>
      <c r="F17" s="8">
        <f t="shared" si="4"/>
        <v>419.88</v>
      </c>
      <c r="G17" s="9">
        <f t="shared" si="1"/>
        <v>2939.16</v>
      </c>
      <c r="H17" s="37">
        <v>3016.8</v>
      </c>
      <c r="I17" s="85">
        <v>3331.8</v>
      </c>
      <c r="J17" s="85">
        <v>315</v>
      </c>
      <c r="K17" s="10">
        <v>150</v>
      </c>
      <c r="L17" s="10">
        <v>70</v>
      </c>
      <c r="M17" s="21">
        <v>167.95</v>
      </c>
      <c r="N17" s="12">
        <v>428.57</v>
      </c>
      <c r="O17" s="13">
        <f t="shared" si="5"/>
        <v>708.81999999999971</v>
      </c>
      <c r="P17" s="13">
        <f>+'Nom 16'!M17-'Nom 16 corr'!O17</f>
        <v>315</v>
      </c>
      <c r="Q17" s="97">
        <f t="shared" si="6"/>
        <v>4040.62</v>
      </c>
      <c r="R17" s="29" t="s">
        <v>47</v>
      </c>
      <c r="S17" s="33">
        <f t="shared" si="2"/>
        <v>70.881999999999977</v>
      </c>
      <c r="T17" s="33">
        <f t="shared" si="3"/>
        <v>76.552559999999986</v>
      </c>
      <c r="U17" s="33">
        <f>+'Nom 16'!Q17-'Nom 16 corr'!T17</f>
        <v>34.019999999999996</v>
      </c>
    </row>
    <row r="18" spans="1:21" x14ac:dyDescent="0.25">
      <c r="A18" s="5">
        <v>174</v>
      </c>
      <c r="B18" s="6" t="s">
        <v>28</v>
      </c>
      <c r="C18" s="7">
        <v>10000</v>
      </c>
      <c r="D18" s="7">
        <v>419.88</v>
      </c>
      <c r="E18" s="8">
        <f t="shared" si="0"/>
        <v>2519.2799999999997</v>
      </c>
      <c r="F18" s="8">
        <f t="shared" si="4"/>
        <v>419.88</v>
      </c>
      <c r="G18" s="9">
        <f t="shared" si="1"/>
        <v>2939.16</v>
      </c>
      <c r="H18" s="37">
        <v>2243.6</v>
      </c>
      <c r="I18" s="85">
        <v>2454</v>
      </c>
      <c r="J18" s="85">
        <v>210.40000000000009</v>
      </c>
      <c r="K18" s="10">
        <v>0</v>
      </c>
      <c r="L18" s="10">
        <v>0</v>
      </c>
      <c r="M18" s="16">
        <v>908.03</v>
      </c>
      <c r="N18" s="12">
        <v>714.29</v>
      </c>
      <c r="O18" s="13">
        <f t="shared" si="5"/>
        <v>7352.2600000000011</v>
      </c>
      <c r="P18" s="13">
        <f>+'Nom 16'!M18-'Nom 16 corr'!O18</f>
        <v>210.39999999999782</v>
      </c>
      <c r="Q18" s="97">
        <f t="shared" si="6"/>
        <v>9806.260000000002</v>
      </c>
      <c r="R18" s="29" t="s">
        <v>50</v>
      </c>
      <c r="S18" s="33">
        <f t="shared" si="2"/>
        <v>735.22600000000011</v>
      </c>
      <c r="T18" s="33">
        <f t="shared" si="3"/>
        <v>794.04408000000012</v>
      </c>
      <c r="U18" s="33">
        <f>+'Nom 16'!Q18-'Nom 16 corr'!T18</f>
        <v>22.723199999999906</v>
      </c>
    </row>
    <row r="19" spans="1:21" x14ac:dyDescent="0.25">
      <c r="A19" s="5">
        <v>184</v>
      </c>
      <c r="B19" s="6" t="s">
        <v>29</v>
      </c>
      <c r="C19" s="7">
        <v>8000</v>
      </c>
      <c r="D19" s="7">
        <v>419.88</v>
      </c>
      <c r="E19" s="8">
        <f t="shared" si="0"/>
        <v>2519.2799999999997</v>
      </c>
      <c r="F19" s="8">
        <f t="shared" si="4"/>
        <v>419.88</v>
      </c>
      <c r="G19" s="9">
        <f t="shared" si="1"/>
        <v>2939.16</v>
      </c>
      <c r="H19" s="37">
        <v>3222.4</v>
      </c>
      <c r="I19" s="85">
        <v>3432.2</v>
      </c>
      <c r="J19" s="85">
        <v>209.79999999999973</v>
      </c>
      <c r="K19" s="10">
        <v>375</v>
      </c>
      <c r="L19" s="10">
        <v>175</v>
      </c>
      <c r="M19" s="11"/>
      <c r="N19" s="19">
        <v>571.42999999999995</v>
      </c>
      <c r="O19" s="13">
        <f t="shared" si="5"/>
        <v>4589.2300000000005</v>
      </c>
      <c r="P19" s="13">
        <f>+'Nom 16'!M19-'Nom 16 corr'!O19</f>
        <v>209.80000000000018</v>
      </c>
      <c r="Q19" s="97">
        <f t="shared" si="6"/>
        <v>8021.43</v>
      </c>
      <c r="R19" s="29" t="s">
        <v>47</v>
      </c>
      <c r="S19" s="33">
        <f t="shared" si="2"/>
        <v>458.92300000000006</v>
      </c>
      <c r="T19" s="33">
        <f t="shared" si="3"/>
        <v>495.63684000000012</v>
      </c>
      <c r="U19" s="33">
        <f>+'Nom 16'!Q19-'Nom 16 corr'!T19</f>
        <v>22.658400000000029</v>
      </c>
    </row>
    <row r="20" spans="1:21" s="55" customFormat="1" ht="13.5" customHeight="1" x14ac:dyDescent="0.25">
      <c r="A20" s="5">
        <v>204</v>
      </c>
      <c r="B20" s="6" t="s">
        <v>33</v>
      </c>
      <c r="C20" s="7">
        <v>4000</v>
      </c>
      <c r="D20" s="7">
        <v>419.88</v>
      </c>
      <c r="E20" s="8">
        <f t="shared" si="0"/>
        <v>2519.2799999999997</v>
      </c>
      <c r="F20" s="8">
        <f t="shared" si="4"/>
        <v>419.88</v>
      </c>
      <c r="G20" s="9">
        <f t="shared" si="1"/>
        <v>2939.16</v>
      </c>
      <c r="H20" s="37">
        <v>3222.2</v>
      </c>
      <c r="I20" s="85">
        <v>3432</v>
      </c>
      <c r="J20" s="85">
        <v>209.80000000000018</v>
      </c>
      <c r="K20" s="10">
        <v>150</v>
      </c>
      <c r="L20" s="10">
        <v>140</v>
      </c>
      <c r="M20" s="11"/>
      <c r="N20" s="12">
        <v>285.70999999999998</v>
      </c>
      <c r="O20" s="13">
        <f t="shared" si="5"/>
        <v>563.71</v>
      </c>
      <c r="P20" s="13">
        <f>+'Nom 16'!M20-'Nom 16 corr'!O20</f>
        <v>209.80000000000018</v>
      </c>
      <c r="Q20" s="97">
        <f t="shared" si="6"/>
        <v>3995.71</v>
      </c>
      <c r="R20" s="29" t="s">
        <v>47</v>
      </c>
      <c r="S20" s="33">
        <f t="shared" si="2"/>
        <v>56.371000000000009</v>
      </c>
      <c r="T20" s="33">
        <f t="shared" si="3"/>
        <v>60.880680000000012</v>
      </c>
      <c r="U20" s="33">
        <f>+'Nom 16'!Q20-'Nom 16 corr'!T20</f>
        <v>22.658400000000029</v>
      </c>
    </row>
    <row r="21" spans="1:21" s="55" customFormat="1" x14ac:dyDescent="0.25">
      <c r="A21" s="5">
        <v>213</v>
      </c>
      <c r="B21" s="6" t="s">
        <v>34</v>
      </c>
      <c r="C21" s="7">
        <v>4000</v>
      </c>
      <c r="D21" s="7">
        <v>419.88</v>
      </c>
      <c r="E21" s="8">
        <f t="shared" si="0"/>
        <v>2519.2799999999997</v>
      </c>
      <c r="F21" s="8">
        <f t="shared" si="4"/>
        <v>419.88</v>
      </c>
      <c r="G21" s="9">
        <f t="shared" si="1"/>
        <v>2939.16</v>
      </c>
      <c r="H21" s="37">
        <v>3222.4</v>
      </c>
      <c r="I21" s="85">
        <v>3432.2</v>
      </c>
      <c r="J21" s="85">
        <v>209.79999999999973</v>
      </c>
      <c r="K21" s="10">
        <v>0</v>
      </c>
      <c r="L21" s="10">
        <v>0</v>
      </c>
      <c r="M21" s="11"/>
      <c r="N21" s="12">
        <v>285.70999999999998</v>
      </c>
      <c r="O21" s="13">
        <f t="shared" si="5"/>
        <v>853.51000000000022</v>
      </c>
      <c r="P21" s="13">
        <f>+'Nom 16'!M21-'Nom 16 corr'!O21</f>
        <v>209.79999999999973</v>
      </c>
      <c r="Q21" s="97">
        <f t="shared" si="6"/>
        <v>4285.71</v>
      </c>
      <c r="R21" s="29" t="s">
        <v>50</v>
      </c>
      <c r="S21" s="33">
        <f t="shared" si="2"/>
        <v>85.351000000000028</v>
      </c>
      <c r="T21" s="33">
        <f t="shared" si="3"/>
        <v>92.179080000000042</v>
      </c>
      <c r="U21" s="33">
        <f>+'Nom 16'!Q21-'Nom 16 corr'!T21</f>
        <v>22.658399999999972</v>
      </c>
    </row>
    <row r="22" spans="1:21" s="55" customFormat="1" x14ac:dyDescent="0.25">
      <c r="A22" s="5">
        <v>215</v>
      </c>
      <c r="B22" s="6" t="s">
        <v>35</v>
      </c>
      <c r="C22" s="7">
        <v>5000</v>
      </c>
      <c r="D22" s="7">
        <v>419.88</v>
      </c>
      <c r="E22" s="8">
        <f t="shared" si="0"/>
        <v>2519.2799999999997</v>
      </c>
      <c r="F22" s="8">
        <f t="shared" si="4"/>
        <v>419.88</v>
      </c>
      <c r="G22" s="9">
        <f t="shared" si="1"/>
        <v>2939.16</v>
      </c>
      <c r="H22" s="37">
        <v>3051.4</v>
      </c>
      <c r="I22" s="85">
        <v>3261.4</v>
      </c>
      <c r="J22" s="85">
        <v>210</v>
      </c>
      <c r="K22" s="10">
        <v>225</v>
      </c>
      <c r="L22" s="10">
        <v>70</v>
      </c>
      <c r="M22" s="21">
        <v>209.94</v>
      </c>
      <c r="N22" s="12">
        <v>357.14</v>
      </c>
      <c r="O22" s="13">
        <f t="shared" si="5"/>
        <v>1590.7999999999997</v>
      </c>
      <c r="P22" s="13">
        <f>+'Nom 16'!M22-'Nom 16 corr'!O22</f>
        <v>210</v>
      </c>
      <c r="Q22" s="97">
        <f t="shared" si="6"/>
        <v>4852.2</v>
      </c>
      <c r="R22" s="29" t="s">
        <v>47</v>
      </c>
      <c r="S22" s="33">
        <f t="shared" si="2"/>
        <v>159.07999999999998</v>
      </c>
      <c r="T22" s="33">
        <f t="shared" si="3"/>
        <v>171.8064</v>
      </c>
      <c r="U22" s="33">
        <f>+'Nom 16'!Q22-'Nom 16 corr'!T22</f>
        <v>22.680000000000007</v>
      </c>
    </row>
    <row r="23" spans="1:21" s="55" customFormat="1" x14ac:dyDescent="0.25">
      <c r="A23" s="5">
        <v>218</v>
      </c>
      <c r="B23" s="6" t="s">
        <v>36</v>
      </c>
      <c r="C23" s="7">
        <v>3500</v>
      </c>
      <c r="D23" s="7">
        <v>419.88</v>
      </c>
      <c r="E23" s="8">
        <f t="shared" si="0"/>
        <v>2519.2799999999997</v>
      </c>
      <c r="F23" s="8">
        <f t="shared" si="4"/>
        <v>419.88</v>
      </c>
      <c r="G23" s="9">
        <f t="shared" si="1"/>
        <v>2939.16</v>
      </c>
      <c r="H23" s="37">
        <v>3222.2</v>
      </c>
      <c r="I23" s="85">
        <v>3432.2</v>
      </c>
      <c r="J23" s="85">
        <v>210</v>
      </c>
      <c r="K23" s="10">
        <v>0</v>
      </c>
      <c r="L23" s="10">
        <v>0</v>
      </c>
      <c r="M23" s="21"/>
      <c r="N23" s="12">
        <v>250</v>
      </c>
      <c r="O23" s="13">
        <f t="shared" si="5"/>
        <v>317.80000000000018</v>
      </c>
      <c r="P23" s="13">
        <f>+'Nom 16'!M23-'Nom 16 corr'!O23</f>
        <v>210</v>
      </c>
      <c r="Q23" s="97">
        <f t="shared" si="6"/>
        <v>3750</v>
      </c>
      <c r="R23" s="29" t="s">
        <v>49</v>
      </c>
      <c r="S23" s="33">
        <f t="shared" si="2"/>
        <v>31.780000000000019</v>
      </c>
      <c r="T23" s="33">
        <f t="shared" si="3"/>
        <v>34.322400000000023</v>
      </c>
      <c r="U23" s="33">
        <f>+'Nom 16'!Q23-'Nom 16 corr'!T23</f>
        <v>22.680000000000007</v>
      </c>
    </row>
    <row r="24" spans="1:21" s="55" customFormat="1" x14ac:dyDescent="0.25">
      <c r="A24" s="36">
        <v>220</v>
      </c>
      <c r="B24" s="6" t="s">
        <v>37</v>
      </c>
      <c r="C24" s="7">
        <v>4000</v>
      </c>
      <c r="D24" s="7">
        <v>419.88</v>
      </c>
      <c r="E24" s="8">
        <f t="shared" si="0"/>
        <v>2519.2799999999997</v>
      </c>
      <c r="F24" s="8">
        <f t="shared" si="4"/>
        <v>419.88</v>
      </c>
      <c r="G24" s="9">
        <f t="shared" si="1"/>
        <v>2939.16</v>
      </c>
      <c r="H24" s="38">
        <v>3222.2</v>
      </c>
      <c r="I24" s="86">
        <v>3432.2</v>
      </c>
      <c r="J24" s="85">
        <v>210</v>
      </c>
      <c r="K24" s="10">
        <v>375</v>
      </c>
      <c r="L24" s="10">
        <v>210</v>
      </c>
      <c r="M24" s="21"/>
      <c r="N24" s="12">
        <v>285.70999999999998</v>
      </c>
      <c r="O24" s="13">
        <f t="shared" si="5"/>
        <v>268.51000000000016</v>
      </c>
      <c r="P24" s="13">
        <f>+'Nom 16'!M24-'Nom 16 corr'!O24</f>
        <v>210.00000000000006</v>
      </c>
      <c r="Q24" s="97">
        <f t="shared" si="6"/>
        <v>3700.71</v>
      </c>
      <c r="R24" s="36" t="s">
        <v>47</v>
      </c>
      <c r="S24" s="33">
        <f t="shared" si="2"/>
        <v>26.851000000000017</v>
      </c>
      <c r="T24" s="33">
        <f t="shared" si="3"/>
        <v>28.999080000000021</v>
      </c>
      <c r="U24" s="33">
        <f>+'Nom 16'!Q24-'Nom 16 corr'!T24</f>
        <v>22.680000000000014</v>
      </c>
    </row>
    <row r="25" spans="1:21" s="55" customFormat="1" x14ac:dyDescent="0.25">
      <c r="A25" s="5">
        <v>221</v>
      </c>
      <c r="B25" s="6" t="s">
        <v>38</v>
      </c>
      <c r="C25" s="7">
        <v>5000</v>
      </c>
      <c r="D25" s="7">
        <v>419.88</v>
      </c>
      <c r="E25" s="8">
        <f t="shared" si="0"/>
        <v>2519.2799999999997</v>
      </c>
      <c r="F25" s="8">
        <f t="shared" si="4"/>
        <v>419.88</v>
      </c>
      <c r="G25" s="9">
        <f t="shared" si="1"/>
        <v>2939.16</v>
      </c>
      <c r="H25" s="37">
        <v>3222.4</v>
      </c>
      <c r="I25" s="85">
        <v>3432.2</v>
      </c>
      <c r="J25" s="85">
        <v>209.79999999999973</v>
      </c>
      <c r="K25" s="10">
        <v>375</v>
      </c>
      <c r="L25" s="10">
        <v>175</v>
      </c>
      <c r="M25" s="21"/>
      <c r="N25" s="12">
        <v>357.14</v>
      </c>
      <c r="O25" s="13">
        <f t="shared" si="5"/>
        <v>1374.94</v>
      </c>
      <c r="P25" s="13">
        <f>+'Nom 16'!M25-'Nom 16 corr'!O25</f>
        <v>209.79999999999973</v>
      </c>
      <c r="Q25" s="97">
        <f t="shared" si="6"/>
        <v>4807.1399999999994</v>
      </c>
      <c r="R25" s="29" t="s">
        <v>47</v>
      </c>
      <c r="S25" s="33">
        <f t="shared" si="2"/>
        <v>137.494</v>
      </c>
      <c r="T25" s="33">
        <f t="shared" si="3"/>
        <v>148.49352000000002</v>
      </c>
      <c r="U25" s="33">
        <f>+'Nom 16'!Q25-'Nom 16 corr'!T25</f>
        <v>22.658399999999972</v>
      </c>
    </row>
    <row r="26" spans="1:21" s="55" customFormat="1" x14ac:dyDescent="0.25">
      <c r="A26" s="5">
        <v>222</v>
      </c>
      <c r="B26" s="6" t="s">
        <v>39</v>
      </c>
      <c r="C26" s="7">
        <v>8000</v>
      </c>
      <c r="D26" s="7">
        <v>419.88</v>
      </c>
      <c r="E26" s="8">
        <f t="shared" si="0"/>
        <v>2519.2799999999997</v>
      </c>
      <c r="F26" s="8">
        <f t="shared" si="4"/>
        <v>419.88</v>
      </c>
      <c r="G26" s="9">
        <f t="shared" si="1"/>
        <v>2939.16</v>
      </c>
      <c r="H26" s="37">
        <v>3017</v>
      </c>
      <c r="I26" s="85">
        <v>3541.8</v>
      </c>
      <c r="J26" s="85">
        <v>524.80000000000018</v>
      </c>
      <c r="K26" s="10">
        <v>375</v>
      </c>
      <c r="L26" s="10">
        <v>140</v>
      </c>
      <c r="M26" s="21"/>
      <c r="N26" s="19">
        <v>1428.57</v>
      </c>
      <c r="O26" s="13">
        <f t="shared" si="5"/>
        <v>5371.7699999999995</v>
      </c>
      <c r="P26" s="13">
        <f>+'Nom 16'!M26-'Nom 16 corr'!O26</f>
        <v>524.80000000000018</v>
      </c>
      <c r="Q26" s="97">
        <f t="shared" si="6"/>
        <v>8913.57</v>
      </c>
      <c r="R26" s="29" t="s">
        <v>47</v>
      </c>
      <c r="S26" s="33">
        <f t="shared" si="2"/>
        <v>537.17700000000002</v>
      </c>
      <c r="T26" s="33">
        <f t="shared" si="3"/>
        <v>580.15116</v>
      </c>
      <c r="U26" s="33">
        <f>+'Nom 16'!Q26-'Nom 16 corr'!T26</f>
        <v>56.678400000000124</v>
      </c>
    </row>
    <row r="27" spans="1:21" s="55" customFormat="1" x14ac:dyDescent="0.25">
      <c r="A27" s="5">
        <v>226</v>
      </c>
      <c r="B27" s="6" t="s">
        <v>40</v>
      </c>
      <c r="C27" s="7">
        <v>7500</v>
      </c>
      <c r="D27" s="7">
        <v>419.88</v>
      </c>
      <c r="E27" s="8">
        <f t="shared" si="0"/>
        <v>2519.2799999999997</v>
      </c>
      <c r="F27" s="8">
        <f t="shared" si="4"/>
        <v>419.88</v>
      </c>
      <c r="G27" s="9">
        <f t="shared" si="1"/>
        <v>2939.16</v>
      </c>
      <c r="H27" s="37">
        <v>3222.2</v>
      </c>
      <c r="I27" s="85">
        <v>3432.2</v>
      </c>
      <c r="J27" s="85">
        <v>210</v>
      </c>
      <c r="K27" s="10">
        <v>375</v>
      </c>
      <c r="L27" s="10">
        <v>140</v>
      </c>
      <c r="M27" s="21"/>
      <c r="N27" s="12">
        <v>535.71</v>
      </c>
      <c r="O27" s="13">
        <f t="shared" si="5"/>
        <v>4088.51</v>
      </c>
      <c r="P27" s="13">
        <f>+'Nom 16'!M27-'Nom 16 corr'!O27</f>
        <v>210</v>
      </c>
      <c r="Q27" s="97">
        <f t="shared" si="6"/>
        <v>7520.71</v>
      </c>
      <c r="R27" s="29" t="s">
        <v>47</v>
      </c>
      <c r="S27" s="33">
        <f t="shared" si="2"/>
        <v>408.85100000000006</v>
      </c>
      <c r="T27" s="33">
        <f t="shared" si="3"/>
        <v>441.55908000000011</v>
      </c>
      <c r="U27" s="33">
        <f>+'Nom 16'!Q27-'Nom 16 corr'!T27</f>
        <v>22.680000000000007</v>
      </c>
    </row>
    <row r="28" spans="1:21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0"/>
        <v>2519.2799999999997</v>
      </c>
      <c r="F28" s="8">
        <f t="shared" si="4"/>
        <v>419.88</v>
      </c>
      <c r="G28" s="9">
        <f t="shared" si="1"/>
        <v>2939.16</v>
      </c>
      <c r="H28" s="37">
        <v>3222.2</v>
      </c>
      <c r="I28" s="85">
        <v>3432.2</v>
      </c>
      <c r="J28" s="85">
        <v>210</v>
      </c>
      <c r="K28" s="10">
        <v>75</v>
      </c>
      <c r="L28" s="10">
        <v>175</v>
      </c>
      <c r="M28" s="21"/>
      <c r="N28" s="12">
        <v>428.57</v>
      </c>
      <c r="O28" s="13">
        <f t="shared" si="5"/>
        <v>2746.3700000000003</v>
      </c>
      <c r="P28" s="13">
        <f>+'Nom 16'!M28-'Nom 16 corr'!O28</f>
        <v>210</v>
      </c>
      <c r="Q28" s="97">
        <f t="shared" si="6"/>
        <v>6178.57</v>
      </c>
      <c r="R28" s="29" t="s">
        <v>47</v>
      </c>
      <c r="S28" s="33">
        <f t="shared" si="2"/>
        <v>274.63700000000006</v>
      </c>
      <c r="T28" s="33">
        <f t="shared" si="3"/>
        <v>296.60796000000011</v>
      </c>
      <c r="U28" s="33">
        <f>+'Nom 16'!Q28-'Nom 16 corr'!T28</f>
        <v>22.67999999999995</v>
      </c>
    </row>
    <row r="29" spans="1:21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0"/>
        <v>2519.2799999999997</v>
      </c>
      <c r="F29" s="8">
        <f t="shared" si="4"/>
        <v>419.88</v>
      </c>
      <c r="G29" s="9">
        <f t="shared" si="1"/>
        <v>2939.16</v>
      </c>
      <c r="H29" s="37">
        <v>3222.2</v>
      </c>
      <c r="I29" s="85">
        <v>3432.2</v>
      </c>
      <c r="J29" s="85">
        <v>210</v>
      </c>
      <c r="K29" s="10">
        <v>375</v>
      </c>
      <c r="L29" s="10">
        <v>105</v>
      </c>
      <c r="M29" s="21"/>
      <c r="N29" s="12">
        <v>446.43</v>
      </c>
      <c r="O29" s="13">
        <f t="shared" si="5"/>
        <v>2784.23</v>
      </c>
      <c r="P29" s="13">
        <f>+'Nom 16'!M29-'Nom 16 corr'!O29</f>
        <v>210</v>
      </c>
      <c r="Q29" s="97">
        <f t="shared" si="6"/>
        <v>6216.43</v>
      </c>
      <c r="R29" s="31" t="s">
        <v>47</v>
      </c>
      <c r="S29" s="33">
        <f t="shared" si="2"/>
        <v>278.423</v>
      </c>
      <c r="T29" s="33">
        <f t="shared" si="3"/>
        <v>300.69684000000001</v>
      </c>
      <c r="U29" s="33">
        <f>+'Nom 16'!Q29-'Nom 16 corr'!T29</f>
        <v>22.680000000000007</v>
      </c>
    </row>
    <row r="30" spans="1:21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0"/>
        <v>2519.2799999999997</v>
      </c>
      <c r="F30" s="8">
        <f t="shared" si="4"/>
        <v>419.88</v>
      </c>
      <c r="G30" s="9">
        <f t="shared" si="1"/>
        <v>2939.16</v>
      </c>
      <c r="H30" s="37">
        <v>3016.8</v>
      </c>
      <c r="I30" s="85">
        <v>3541.6</v>
      </c>
      <c r="J30" s="85">
        <v>524.79999999999973</v>
      </c>
      <c r="K30" s="10">
        <v>375</v>
      </c>
      <c r="L30" s="10">
        <v>105</v>
      </c>
      <c r="M30" s="11"/>
      <c r="N30" s="19">
        <v>892.86</v>
      </c>
      <c r="O30" s="13">
        <f t="shared" si="5"/>
        <v>1871.2600000000002</v>
      </c>
      <c r="P30" s="13">
        <f>+'Nom 16'!M30-'Nom 16 corr'!O30</f>
        <v>524.79999999999973</v>
      </c>
      <c r="Q30" s="97">
        <f t="shared" si="6"/>
        <v>5412.8600000000006</v>
      </c>
      <c r="R30" s="29" t="s">
        <v>47</v>
      </c>
      <c r="S30" s="33">
        <f>+O30*0.1</f>
        <v>187.12600000000003</v>
      </c>
      <c r="T30" s="33">
        <f t="shared" si="3"/>
        <v>202.09608000000006</v>
      </c>
      <c r="U30" s="33">
        <f>+'Nom 16'!Q30-'Nom 16 corr'!T30</f>
        <v>56.678399999999925</v>
      </c>
    </row>
    <row r="31" spans="1:21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0"/>
        <v>2519.2799999999997</v>
      </c>
      <c r="F31" s="8">
        <f t="shared" si="4"/>
        <v>419.88</v>
      </c>
      <c r="G31" s="9">
        <f t="shared" si="1"/>
        <v>2939.16</v>
      </c>
      <c r="H31" s="37">
        <v>3222.4</v>
      </c>
      <c r="I31" s="85">
        <v>3432.2</v>
      </c>
      <c r="J31" s="85">
        <v>209.79999999999973</v>
      </c>
      <c r="K31" s="10">
        <v>225</v>
      </c>
      <c r="L31" s="10">
        <v>105</v>
      </c>
      <c r="M31" s="21"/>
      <c r="N31" s="12">
        <v>357.14</v>
      </c>
      <c r="O31" s="13">
        <f t="shared" si="5"/>
        <v>1594.94</v>
      </c>
      <c r="P31" s="13">
        <f>+'Nom 16'!M31-'Nom 16 corr'!O31</f>
        <v>209.79999999999973</v>
      </c>
      <c r="Q31" s="97">
        <f t="shared" si="6"/>
        <v>5027.1399999999994</v>
      </c>
      <c r="R31" s="29" t="s">
        <v>47</v>
      </c>
      <c r="S31" s="33">
        <f t="shared" si="2"/>
        <v>159.49400000000003</v>
      </c>
      <c r="T31" s="33">
        <f t="shared" si="3"/>
        <v>172.25352000000004</v>
      </c>
      <c r="U31" s="33">
        <f>+'Nom 16'!Q31-'Nom 16 corr'!T31</f>
        <v>22.658399999999972</v>
      </c>
    </row>
    <row r="32" spans="1:21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0"/>
        <v>2519.2799999999997</v>
      </c>
      <c r="F32" s="8">
        <f t="shared" si="4"/>
        <v>419.88</v>
      </c>
      <c r="G32" s="9">
        <f t="shared" si="1"/>
        <v>2939.16</v>
      </c>
      <c r="H32" s="37">
        <v>3222.2</v>
      </c>
      <c r="I32" s="85">
        <v>3432.2</v>
      </c>
      <c r="J32" s="85">
        <v>210</v>
      </c>
      <c r="K32" s="10">
        <v>75</v>
      </c>
      <c r="L32" s="10">
        <v>0</v>
      </c>
      <c r="M32" s="11"/>
      <c r="N32" s="12">
        <v>357.14</v>
      </c>
      <c r="O32" s="13">
        <f t="shared" si="5"/>
        <v>1849.94</v>
      </c>
      <c r="P32" s="13">
        <f>+'Nom 16'!M32-'Nom 16 corr'!O32</f>
        <v>210</v>
      </c>
      <c r="Q32" s="97">
        <f t="shared" si="6"/>
        <v>5282.1399999999994</v>
      </c>
      <c r="R32" s="34">
        <v>2</v>
      </c>
      <c r="S32" s="33">
        <f t="shared" si="2"/>
        <v>184.99400000000003</v>
      </c>
      <c r="T32" s="33">
        <f t="shared" si="3"/>
        <v>199.79352000000006</v>
      </c>
      <c r="U32" s="33">
        <f>+'Nom 16'!Q32-'Nom 16 corr'!T32</f>
        <v>22.679999999999978</v>
      </c>
    </row>
    <row r="33" spans="1:21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0"/>
        <v>2519.2799999999997</v>
      </c>
      <c r="F33" s="8">
        <f t="shared" si="4"/>
        <v>419.88</v>
      </c>
      <c r="G33" s="9">
        <f t="shared" si="1"/>
        <v>2939.16</v>
      </c>
      <c r="H33" s="37">
        <v>3222.2</v>
      </c>
      <c r="I33" s="85">
        <v>3432.2</v>
      </c>
      <c r="J33" s="85">
        <v>210</v>
      </c>
      <c r="K33" s="10">
        <v>150</v>
      </c>
      <c r="L33" s="10">
        <v>175</v>
      </c>
      <c r="M33" s="21"/>
      <c r="N33" s="12">
        <v>285.70999999999998</v>
      </c>
      <c r="O33" s="13">
        <f t="shared" si="5"/>
        <v>528.51000000000022</v>
      </c>
      <c r="P33" s="13">
        <f>+'Nom 16'!M33-'Nom 16 corr'!O33</f>
        <v>210</v>
      </c>
      <c r="Q33" s="97">
        <f t="shared" si="6"/>
        <v>3960.71</v>
      </c>
      <c r="R33" s="5" t="s">
        <v>47</v>
      </c>
      <c r="S33" s="33">
        <f t="shared" si="2"/>
        <v>52.851000000000028</v>
      </c>
      <c r="T33" s="33">
        <f t="shared" si="3"/>
        <v>57.079080000000033</v>
      </c>
      <c r="U33" s="33">
        <f>+'Nom 16'!Q33-'Nom 16 corr'!T33</f>
        <v>22.680000000000007</v>
      </c>
    </row>
    <row r="34" spans="1:21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0"/>
        <v>2519.2799999999997</v>
      </c>
      <c r="F34" s="8">
        <f t="shared" si="4"/>
        <v>419.88</v>
      </c>
      <c r="G34" s="9">
        <f t="shared" si="1"/>
        <v>2939.16</v>
      </c>
      <c r="H34" s="37">
        <v>3222.2</v>
      </c>
      <c r="I34" s="85">
        <v>3432</v>
      </c>
      <c r="J34" s="85">
        <v>209.80000000000018</v>
      </c>
      <c r="K34" s="10">
        <v>0</v>
      </c>
      <c r="L34" s="10">
        <v>0</v>
      </c>
      <c r="M34" s="11"/>
      <c r="N34" s="12">
        <v>357.14</v>
      </c>
      <c r="O34" s="13">
        <f t="shared" si="5"/>
        <v>1925.1399999999999</v>
      </c>
      <c r="P34" s="13">
        <f>+'Nom 16'!M34-'Nom 16 corr'!O34</f>
        <v>209.80000000000018</v>
      </c>
      <c r="Q34" s="97">
        <f t="shared" si="6"/>
        <v>5357.1399999999994</v>
      </c>
      <c r="R34" s="5" t="s">
        <v>47</v>
      </c>
      <c r="S34" s="33">
        <f t="shared" si="2"/>
        <v>192.51400000000001</v>
      </c>
      <c r="T34" s="33">
        <f t="shared" si="3"/>
        <v>207.91512000000003</v>
      </c>
      <c r="U34" s="33">
        <f>+'Nom 16'!Q34-'Nom 16 corr'!T34</f>
        <v>22.658400000000029</v>
      </c>
    </row>
    <row r="35" spans="1:21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0"/>
        <v>2519.2799999999997</v>
      </c>
      <c r="F35" s="8">
        <f t="shared" si="4"/>
        <v>419.88</v>
      </c>
      <c r="G35" s="9">
        <f t="shared" si="1"/>
        <v>2939.16</v>
      </c>
      <c r="H35" s="37">
        <v>2238.4</v>
      </c>
      <c r="I35" s="85">
        <v>2449</v>
      </c>
      <c r="J35" s="85">
        <v>210.59999999999991</v>
      </c>
      <c r="K35" s="10">
        <v>300</v>
      </c>
      <c r="L35" s="10">
        <v>105</v>
      </c>
      <c r="M35" s="16">
        <v>913.35</v>
      </c>
      <c r="N35" s="12">
        <v>285.70999999999998</v>
      </c>
      <c r="O35" s="13">
        <f t="shared" si="5"/>
        <v>518.36</v>
      </c>
      <c r="P35" s="13">
        <f>+'Nom 16'!M35-'Nom 16 corr'!O35</f>
        <v>210.59999999999991</v>
      </c>
      <c r="Q35" s="97">
        <f t="shared" si="6"/>
        <v>2967.36</v>
      </c>
      <c r="R35" s="5" t="s">
        <v>47</v>
      </c>
      <c r="S35" s="33">
        <f t="shared" si="2"/>
        <v>51.836000000000006</v>
      </c>
      <c r="T35" s="33">
        <f t="shared" si="3"/>
        <v>55.982880000000009</v>
      </c>
      <c r="U35" s="33">
        <f>+'Nom 16'!Q35-'Nom 16 corr'!T35</f>
        <v>22.744799999999998</v>
      </c>
    </row>
    <row r="36" spans="1:21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0"/>
        <v>2519.2799999999997</v>
      </c>
      <c r="F36" s="8">
        <f t="shared" si="4"/>
        <v>419.88</v>
      </c>
      <c r="G36" s="9">
        <f t="shared" si="1"/>
        <v>2939.16</v>
      </c>
      <c r="H36" s="37">
        <v>2372.4</v>
      </c>
      <c r="I36" s="85">
        <v>2582.8000000000002</v>
      </c>
      <c r="J36" s="85">
        <v>210.40000000000009</v>
      </c>
      <c r="K36" s="10">
        <v>375</v>
      </c>
      <c r="L36" s="10">
        <v>140</v>
      </c>
      <c r="M36" s="16">
        <f>435.88+420.84</f>
        <v>856.72</v>
      </c>
      <c r="N36" s="12">
        <v>357.14</v>
      </c>
      <c r="O36" s="13">
        <f t="shared" si="5"/>
        <v>1402.6199999999997</v>
      </c>
      <c r="P36" s="13">
        <f>+'Nom 16'!M36-'Nom 16 corr'!O36</f>
        <v>210.40000000000009</v>
      </c>
      <c r="Q36" s="97">
        <f t="shared" si="6"/>
        <v>3985.42</v>
      </c>
      <c r="R36" s="5" t="s">
        <v>47</v>
      </c>
      <c r="S36" s="33">
        <f t="shared" si="2"/>
        <v>140.26199999999997</v>
      </c>
      <c r="T36" s="33">
        <f t="shared" si="3"/>
        <v>151.48295999999999</v>
      </c>
      <c r="U36" s="33">
        <f>+'Nom 16'!Q36-'Nom 16 corr'!T36</f>
        <v>22.72320000000002</v>
      </c>
    </row>
    <row r="37" spans="1:21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0"/>
        <v>2519.2799999999997</v>
      </c>
      <c r="F37" s="8">
        <f t="shared" si="4"/>
        <v>419.88</v>
      </c>
      <c r="G37" s="9">
        <f t="shared" si="1"/>
        <v>2939.16</v>
      </c>
      <c r="H37" s="37">
        <v>3222.2</v>
      </c>
      <c r="I37" s="85">
        <v>3432.2</v>
      </c>
      <c r="J37" s="85">
        <v>210</v>
      </c>
      <c r="K37" s="10">
        <v>75</v>
      </c>
      <c r="L37" s="10">
        <v>0</v>
      </c>
      <c r="M37" s="11"/>
      <c r="N37" s="12">
        <v>285.70999999999998</v>
      </c>
      <c r="O37" s="13">
        <f t="shared" si="5"/>
        <v>778.51000000000022</v>
      </c>
      <c r="P37" s="13">
        <f>+'Nom 16'!M37-'Nom 16 corr'!O37</f>
        <v>210</v>
      </c>
      <c r="Q37" s="97">
        <f t="shared" si="6"/>
        <v>4210.71</v>
      </c>
      <c r="R37" s="5" t="s">
        <v>47</v>
      </c>
      <c r="S37" s="33">
        <f t="shared" si="2"/>
        <v>77.851000000000028</v>
      </c>
      <c r="T37" s="33">
        <f t="shared" si="3"/>
        <v>84.079080000000033</v>
      </c>
      <c r="U37" s="33">
        <f>+'Nom 16'!Q37-'Nom 16 corr'!T37</f>
        <v>22.680000000000007</v>
      </c>
    </row>
    <row r="38" spans="1:21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0"/>
        <v>2519.2799999999997</v>
      </c>
      <c r="F38" s="8">
        <f t="shared" si="4"/>
        <v>419.88</v>
      </c>
      <c r="G38" s="9">
        <f t="shared" si="1"/>
        <v>2939.16</v>
      </c>
      <c r="H38" s="37">
        <v>2879</v>
      </c>
      <c r="I38" s="85">
        <v>3089</v>
      </c>
      <c r="J38" s="85">
        <v>210</v>
      </c>
      <c r="K38" s="10">
        <v>225</v>
      </c>
      <c r="L38" s="10">
        <v>140</v>
      </c>
      <c r="M38" s="21">
        <f>209.94+209.94</f>
        <v>419.88</v>
      </c>
      <c r="N38" s="12">
        <v>500</v>
      </c>
      <c r="O38" s="13">
        <f t="shared" si="5"/>
        <v>3626.12</v>
      </c>
      <c r="P38" s="13">
        <f>+'Nom 16'!M38-'Nom 16 corr'!O38</f>
        <v>210</v>
      </c>
      <c r="Q38" s="97">
        <f t="shared" si="6"/>
        <v>6715.12</v>
      </c>
      <c r="R38" s="5" t="s">
        <v>47</v>
      </c>
      <c r="S38" s="33">
        <f t="shared" si="2"/>
        <v>362.61200000000002</v>
      </c>
      <c r="T38" s="33">
        <f t="shared" si="3"/>
        <v>391.62096000000003</v>
      </c>
      <c r="U38" s="33">
        <f>+'Nom 16'!Q38-'Nom 16 corr'!T38</f>
        <v>22.680000000000007</v>
      </c>
    </row>
    <row r="39" spans="1:21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0"/>
        <v>2519.2799999999997</v>
      </c>
      <c r="F39" s="8">
        <f t="shared" si="4"/>
        <v>419.88</v>
      </c>
      <c r="G39" s="9">
        <f t="shared" si="1"/>
        <v>2939.16</v>
      </c>
      <c r="H39" s="37">
        <v>3051.4</v>
      </c>
      <c r="I39" s="85">
        <v>3261.4</v>
      </c>
      <c r="J39" s="85">
        <v>210</v>
      </c>
      <c r="K39" s="10">
        <v>300</v>
      </c>
      <c r="L39" s="10">
        <v>105</v>
      </c>
      <c r="M39" s="21">
        <v>209.94</v>
      </c>
      <c r="N39" s="12">
        <v>250</v>
      </c>
      <c r="O39" s="13"/>
      <c r="P39" s="13">
        <f>+'Nom 16'!M39-'Nom 16 corr'!O39</f>
        <v>83.659999999999911</v>
      </c>
      <c r="Q39" s="97">
        <f t="shared" si="6"/>
        <v>3261.4</v>
      </c>
      <c r="R39" s="5" t="s">
        <v>47</v>
      </c>
      <c r="S39" s="33">
        <f t="shared" si="2"/>
        <v>0</v>
      </c>
      <c r="T39" s="33">
        <f t="shared" si="3"/>
        <v>0</v>
      </c>
      <c r="U39" s="33">
        <f>+'Nom 16'!Q39-'Nom 16 corr'!T39</f>
        <v>9.0352799999999913</v>
      </c>
    </row>
    <row r="40" spans="1:21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0"/>
        <v>2519.2799999999997</v>
      </c>
      <c r="F40" s="8">
        <f t="shared" si="4"/>
        <v>419.88</v>
      </c>
      <c r="G40" s="9">
        <f t="shared" si="1"/>
        <v>2939.16</v>
      </c>
      <c r="H40" s="37">
        <v>3051.4</v>
      </c>
      <c r="I40" s="85">
        <v>3261.2</v>
      </c>
      <c r="J40" s="85">
        <v>209.79999999999973</v>
      </c>
      <c r="K40" s="10">
        <v>0</v>
      </c>
      <c r="L40" s="10">
        <v>0</v>
      </c>
      <c r="M40" s="21">
        <v>209.94</v>
      </c>
      <c r="N40" s="19">
        <v>241.07</v>
      </c>
      <c r="O40" s="13">
        <f t="shared" si="5"/>
        <v>144.93000000000018</v>
      </c>
      <c r="P40" s="13">
        <f>+'Nom 16'!M40-'Nom 16 corr'!O40</f>
        <v>209.79999999999967</v>
      </c>
      <c r="Q40" s="97">
        <f t="shared" si="6"/>
        <v>3406.13</v>
      </c>
      <c r="R40" s="5" t="s">
        <v>47</v>
      </c>
      <c r="S40" s="33">
        <f t="shared" si="2"/>
        <v>14.493000000000018</v>
      </c>
      <c r="T40" s="33">
        <f t="shared" si="3"/>
        <v>15.65244000000002</v>
      </c>
      <c r="U40" s="33">
        <f>+'Nom 16'!Q40-'Nom 16 corr'!T40</f>
        <v>22.658399999999965</v>
      </c>
    </row>
    <row r="41" spans="1:21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0"/>
        <v>2519.2799999999997</v>
      </c>
      <c r="F41" s="8">
        <f t="shared" si="4"/>
        <v>419.88</v>
      </c>
      <c r="G41" s="9">
        <f t="shared" si="1"/>
        <v>2939.16</v>
      </c>
      <c r="H41" s="37">
        <v>3222.2</v>
      </c>
      <c r="I41" s="85">
        <v>3432.2</v>
      </c>
      <c r="J41" s="85">
        <v>210</v>
      </c>
      <c r="K41" s="10">
        <v>375</v>
      </c>
      <c r="L41" s="10">
        <v>140</v>
      </c>
      <c r="M41" s="11"/>
      <c r="N41" s="12">
        <v>357.14</v>
      </c>
      <c r="O41" s="13">
        <f t="shared" si="5"/>
        <v>1409.94</v>
      </c>
      <c r="P41" s="13">
        <f>+'Nom 16'!M41-'Nom 16 corr'!O41</f>
        <v>210</v>
      </c>
      <c r="Q41" s="97">
        <f t="shared" si="6"/>
        <v>4842.1399999999994</v>
      </c>
      <c r="R41" s="5" t="s">
        <v>47</v>
      </c>
      <c r="S41" s="33">
        <f t="shared" si="2"/>
        <v>140.994</v>
      </c>
      <c r="T41" s="33">
        <f t="shared" si="3"/>
        <v>152.27352000000002</v>
      </c>
      <c r="U41" s="33">
        <f>+'Nom 16'!Q41-'Nom 16 corr'!T41</f>
        <v>22.680000000000035</v>
      </c>
    </row>
    <row r="42" spans="1:21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0"/>
        <v>2519.2799999999997</v>
      </c>
      <c r="F42" s="8">
        <f t="shared" si="4"/>
        <v>419.88</v>
      </c>
      <c r="G42" s="9">
        <f t="shared" si="1"/>
        <v>2939.16</v>
      </c>
      <c r="H42" s="37">
        <v>3051.4</v>
      </c>
      <c r="I42" s="85">
        <v>3261.4</v>
      </c>
      <c r="J42" s="85">
        <v>210</v>
      </c>
      <c r="K42" s="10">
        <v>0</v>
      </c>
      <c r="L42" s="10">
        <v>70</v>
      </c>
      <c r="M42" s="21">
        <v>209.94</v>
      </c>
      <c r="N42" s="12">
        <v>250</v>
      </c>
      <c r="O42" s="13">
        <f t="shared" si="5"/>
        <v>208.65999999999991</v>
      </c>
      <c r="P42" s="13">
        <f>+'Nom 16'!M42-'Nom 16 corr'!O42</f>
        <v>210</v>
      </c>
      <c r="Q42" s="97">
        <f t="shared" si="6"/>
        <v>3470.06</v>
      </c>
      <c r="R42" s="5" t="s">
        <v>47</v>
      </c>
      <c r="S42" s="33">
        <f t="shared" si="2"/>
        <v>20.865999999999993</v>
      </c>
      <c r="T42" s="33">
        <f t="shared" si="3"/>
        <v>22.535279999999993</v>
      </c>
      <c r="U42" s="33">
        <f>+'Nom 16'!Q42-'Nom 16 corr'!T42</f>
        <v>22.68</v>
      </c>
    </row>
    <row r="43" spans="1:21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0"/>
        <v>2519.2799999999997</v>
      </c>
      <c r="F43" s="8">
        <f t="shared" si="4"/>
        <v>419.88</v>
      </c>
      <c r="G43" s="9">
        <f t="shared" si="1"/>
        <v>2939.16</v>
      </c>
      <c r="H43" s="37">
        <v>3222.4</v>
      </c>
      <c r="I43" s="85">
        <v>3432.2</v>
      </c>
      <c r="J43" s="85">
        <v>209.79999999999973</v>
      </c>
      <c r="K43" s="10">
        <v>0</v>
      </c>
      <c r="L43" s="10">
        <v>0</v>
      </c>
      <c r="M43" s="11"/>
      <c r="N43" s="12">
        <v>357.14</v>
      </c>
      <c r="O43" s="13">
        <f t="shared" si="5"/>
        <v>1924.94</v>
      </c>
      <c r="P43" s="13">
        <f>+'Nom 16'!M43-'Nom 16 corr'!O43</f>
        <v>209.79999999999973</v>
      </c>
      <c r="Q43" s="97">
        <f t="shared" si="6"/>
        <v>5357.1399999999994</v>
      </c>
      <c r="R43" s="5" t="s">
        <v>47</v>
      </c>
      <c r="S43" s="33">
        <f t="shared" si="2"/>
        <v>192.49400000000003</v>
      </c>
      <c r="T43" s="33">
        <f t="shared" si="3"/>
        <v>207.89352000000005</v>
      </c>
      <c r="U43" s="33">
        <f>+'Nom 16'!Q43-'Nom 16 corr'!T43</f>
        <v>22.658399999999943</v>
      </c>
    </row>
    <row r="44" spans="1:21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0"/>
        <v>2519.2799999999997</v>
      </c>
      <c r="F44" s="8">
        <f t="shared" si="4"/>
        <v>419.88</v>
      </c>
      <c r="G44" s="9">
        <f t="shared" si="1"/>
        <v>2939.16</v>
      </c>
      <c r="H44" s="37">
        <v>3222.2</v>
      </c>
      <c r="I44" s="85">
        <v>3432.2</v>
      </c>
      <c r="J44" s="85">
        <v>210</v>
      </c>
      <c r="K44" s="10">
        <v>0</v>
      </c>
      <c r="L44" s="10">
        <v>0</v>
      </c>
      <c r="M44" s="11"/>
      <c r="N44" s="19">
        <v>625</v>
      </c>
      <c r="O44" s="13">
        <f t="shared" si="5"/>
        <v>5942.8</v>
      </c>
      <c r="P44" s="13">
        <f>+'Nom 16'!M44-'Nom 16 corr'!O44</f>
        <v>210</v>
      </c>
      <c r="Q44" s="97">
        <f t="shared" si="6"/>
        <v>9375</v>
      </c>
      <c r="R44" s="5" t="s">
        <v>47</v>
      </c>
      <c r="S44" s="33">
        <f t="shared" si="2"/>
        <v>594.28000000000009</v>
      </c>
      <c r="T44" s="33">
        <f t="shared" si="3"/>
        <v>641.82240000000013</v>
      </c>
      <c r="U44" s="33">
        <f>+'Nom 16'!Q44-'Nom 16 corr'!T44</f>
        <v>22.680000000000064</v>
      </c>
    </row>
    <row r="45" spans="1:21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0"/>
        <v>2519.2799999999997</v>
      </c>
      <c r="F45" s="8">
        <f t="shared" si="4"/>
        <v>419.88</v>
      </c>
      <c r="G45" s="9">
        <f t="shared" si="1"/>
        <v>2939.16</v>
      </c>
      <c r="H45" s="37">
        <v>3222.4</v>
      </c>
      <c r="I45" s="85">
        <v>3432.2</v>
      </c>
      <c r="J45" s="85">
        <v>209.79999999999973</v>
      </c>
      <c r="K45" s="10">
        <v>75</v>
      </c>
      <c r="L45" s="10">
        <v>70</v>
      </c>
      <c r="M45" s="11"/>
      <c r="N45" s="12">
        <v>357.14</v>
      </c>
      <c r="O45" s="13">
        <f t="shared" si="5"/>
        <v>1779.94</v>
      </c>
      <c r="P45" s="13">
        <f>+'Nom 16'!M45-'Nom 16 corr'!O45</f>
        <v>209.79999999999973</v>
      </c>
      <c r="Q45" s="97">
        <f t="shared" si="6"/>
        <v>5212.1399999999994</v>
      </c>
      <c r="R45" s="5" t="s">
        <v>47</v>
      </c>
      <c r="S45" s="33">
        <f t="shared" si="2"/>
        <v>177.99400000000003</v>
      </c>
      <c r="T45" s="33">
        <f t="shared" si="3"/>
        <v>192.23352000000006</v>
      </c>
      <c r="U45" s="33">
        <f>+'Nom 16'!Q45-'Nom 16 corr'!T45</f>
        <v>22.658399999999943</v>
      </c>
    </row>
    <row r="46" spans="1:2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0"/>
        <v>2519.2799999999997</v>
      </c>
      <c r="F46" s="8">
        <f t="shared" si="4"/>
        <v>419.88</v>
      </c>
      <c r="G46" s="9">
        <f t="shared" si="1"/>
        <v>2939.16</v>
      </c>
      <c r="H46" s="37">
        <v>3222.2</v>
      </c>
      <c r="I46" s="85">
        <v>3432.2</v>
      </c>
      <c r="J46" s="85">
        <v>210</v>
      </c>
      <c r="K46" s="10">
        <v>0</v>
      </c>
      <c r="L46" s="10">
        <v>0</v>
      </c>
      <c r="M46" s="11"/>
      <c r="N46" s="12">
        <v>285.70999999999998</v>
      </c>
      <c r="O46" s="13">
        <f t="shared" si="5"/>
        <v>853.51000000000022</v>
      </c>
      <c r="P46" s="13">
        <f>+'Nom 16'!M46-'Nom 16 corr'!O46</f>
        <v>210</v>
      </c>
      <c r="Q46" s="97">
        <f t="shared" si="6"/>
        <v>4285.71</v>
      </c>
      <c r="R46" s="5" t="s">
        <v>47</v>
      </c>
      <c r="S46" s="33">
        <f t="shared" si="2"/>
        <v>85.351000000000028</v>
      </c>
      <c r="T46" s="33">
        <f t="shared" si="3"/>
        <v>92.179080000000042</v>
      </c>
      <c r="U46" s="33">
        <f>+'Nom 16'!Q46-'Nom 16 corr'!T46</f>
        <v>22.679999999999993</v>
      </c>
    </row>
    <row r="47" spans="1:2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0"/>
        <v>2519.2799999999997</v>
      </c>
      <c r="F47" s="8">
        <f t="shared" si="4"/>
        <v>419.88</v>
      </c>
      <c r="G47" s="9">
        <f t="shared" si="1"/>
        <v>2939.16</v>
      </c>
      <c r="H47" s="37">
        <v>3222.4</v>
      </c>
      <c r="I47" s="85">
        <v>3432.2</v>
      </c>
      <c r="J47" s="85">
        <v>209.79999999999973</v>
      </c>
      <c r="K47" s="10">
        <v>0</v>
      </c>
      <c r="L47" s="10">
        <v>0</v>
      </c>
      <c r="M47" s="11"/>
      <c r="N47" s="12">
        <v>285.70999999999998</v>
      </c>
      <c r="O47" s="13">
        <f t="shared" si="5"/>
        <v>853.51000000000022</v>
      </c>
      <c r="P47" s="13">
        <f>+'Nom 16'!M47-'Nom 16 corr'!O47</f>
        <v>209.79999999999973</v>
      </c>
      <c r="Q47" s="97">
        <f t="shared" si="6"/>
        <v>4285.71</v>
      </c>
      <c r="R47" s="5" t="s">
        <v>47</v>
      </c>
      <c r="S47" s="33">
        <f t="shared" si="2"/>
        <v>85.351000000000028</v>
      </c>
      <c r="T47" s="33">
        <f t="shared" si="3"/>
        <v>92.179080000000042</v>
      </c>
      <c r="U47" s="33">
        <f>+'Nom 16'!Q47-'Nom 16 corr'!T47</f>
        <v>22.658399999999972</v>
      </c>
    </row>
    <row r="48" spans="1:21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0"/>
        <v>2519.2799999999997</v>
      </c>
      <c r="F48" s="8">
        <f t="shared" si="4"/>
        <v>419.88</v>
      </c>
      <c r="G48" s="9">
        <f t="shared" si="1"/>
        <v>2939.16</v>
      </c>
      <c r="H48" s="37">
        <v>3222.2</v>
      </c>
      <c r="I48" s="85">
        <v>3432.2</v>
      </c>
      <c r="J48" s="85">
        <v>210</v>
      </c>
      <c r="K48" s="10">
        <v>375</v>
      </c>
      <c r="L48" s="10">
        <v>0</v>
      </c>
      <c r="M48" s="11"/>
      <c r="N48" s="12">
        <v>285.70999999999998</v>
      </c>
      <c r="O48" s="13">
        <f t="shared" si="5"/>
        <v>478.51000000000016</v>
      </c>
      <c r="P48" s="13">
        <f>+'Nom 16'!M48-'Nom 16 corr'!O48</f>
        <v>210.00000000000006</v>
      </c>
      <c r="Q48" s="97">
        <f t="shared" si="6"/>
        <v>3910.71</v>
      </c>
      <c r="R48" s="5" t="s">
        <v>47</v>
      </c>
      <c r="S48" s="33">
        <f t="shared" si="2"/>
        <v>47.85100000000002</v>
      </c>
      <c r="T48" s="33">
        <f t="shared" si="3"/>
        <v>51.679080000000027</v>
      </c>
      <c r="U48" s="33">
        <f>+'Nom 16'!Q48-'Nom 16 corr'!T48</f>
        <v>22.680000000000007</v>
      </c>
    </row>
    <row r="49" spans="1:21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0"/>
        <v>2519.2799999999997</v>
      </c>
      <c r="F49" s="8">
        <f t="shared" si="4"/>
        <v>419.88</v>
      </c>
      <c r="G49" s="9">
        <f t="shared" si="1"/>
        <v>2939.16</v>
      </c>
      <c r="H49" s="37">
        <v>3222.2</v>
      </c>
      <c r="I49" s="85">
        <v>3432.2</v>
      </c>
      <c r="J49" s="85">
        <v>210</v>
      </c>
      <c r="K49" s="10">
        <v>375</v>
      </c>
      <c r="L49" s="10">
        <v>175</v>
      </c>
      <c r="M49" s="11"/>
      <c r="N49" s="12">
        <v>357.14</v>
      </c>
      <c r="O49" s="13">
        <f t="shared" si="5"/>
        <v>1374.94</v>
      </c>
      <c r="P49" s="13">
        <f>+'Nom 16'!M49-'Nom 16 corr'!O49</f>
        <v>210</v>
      </c>
      <c r="Q49" s="97">
        <f t="shared" si="6"/>
        <v>4807.1399999999994</v>
      </c>
      <c r="R49" s="5" t="s">
        <v>47</v>
      </c>
      <c r="S49" s="33">
        <f t="shared" si="2"/>
        <v>137.494</v>
      </c>
      <c r="T49" s="33">
        <f t="shared" si="3"/>
        <v>148.49352000000002</v>
      </c>
      <c r="U49" s="33">
        <f>+'Nom 16'!Q49-'Nom 16 corr'!T49</f>
        <v>22.680000000000035</v>
      </c>
    </row>
    <row r="50" spans="1:21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0"/>
        <v>2519.2799999999997</v>
      </c>
      <c r="F50" s="8">
        <f t="shared" si="4"/>
        <v>419.88</v>
      </c>
      <c r="G50" s="9">
        <f t="shared" si="1"/>
        <v>2939.16</v>
      </c>
      <c r="H50" s="37">
        <v>3222.2</v>
      </c>
      <c r="I50" s="85">
        <v>3432.2</v>
      </c>
      <c r="J50" s="85">
        <v>210</v>
      </c>
      <c r="K50" s="10">
        <v>0</v>
      </c>
      <c r="L50" s="10">
        <v>0</v>
      </c>
      <c r="M50" s="11"/>
      <c r="N50" s="12">
        <v>250</v>
      </c>
      <c r="O50" s="13">
        <f t="shared" si="5"/>
        <v>317.80000000000018</v>
      </c>
      <c r="P50" s="13">
        <f>+'Nom 16'!M50-'Nom 16 corr'!O50</f>
        <v>210</v>
      </c>
      <c r="Q50" s="97">
        <f t="shared" si="6"/>
        <v>3750</v>
      </c>
      <c r="R50" s="5" t="s">
        <v>47</v>
      </c>
      <c r="S50" s="33">
        <f t="shared" si="2"/>
        <v>31.780000000000019</v>
      </c>
      <c r="T50" s="33">
        <f t="shared" si="3"/>
        <v>34.322400000000023</v>
      </c>
      <c r="U50" s="33">
        <f>+'Nom 16'!Q50-'Nom 16 corr'!T50</f>
        <v>22.680000000000007</v>
      </c>
    </row>
    <row r="51" spans="1:21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0"/>
        <v>2519.2799999999997</v>
      </c>
      <c r="F51" s="8">
        <f t="shared" si="4"/>
        <v>419.88</v>
      </c>
      <c r="G51" s="9">
        <f t="shared" si="1"/>
        <v>2939.16</v>
      </c>
      <c r="H51" s="37">
        <v>3222.2</v>
      </c>
      <c r="I51" s="85">
        <v>3432.2</v>
      </c>
      <c r="J51" s="85">
        <v>210</v>
      </c>
      <c r="K51" s="10">
        <v>0</v>
      </c>
      <c r="L51" s="10">
        <v>0</v>
      </c>
      <c r="M51" s="11"/>
      <c r="N51" s="12">
        <f>250+588.83</f>
        <v>838.83</v>
      </c>
      <c r="O51" s="13">
        <f t="shared" si="5"/>
        <v>906.63000000000022</v>
      </c>
      <c r="P51" s="13">
        <f>+'Nom 16'!M51-'Nom 16 corr'!O51</f>
        <v>209.99999999999989</v>
      </c>
      <c r="Q51" s="97">
        <f t="shared" si="6"/>
        <v>4338.83</v>
      </c>
      <c r="R51" s="5" t="s">
        <v>47</v>
      </c>
      <c r="S51" s="33">
        <f t="shared" si="2"/>
        <v>90.663000000000025</v>
      </c>
      <c r="T51" s="33">
        <f t="shared" si="3"/>
        <v>97.916040000000038</v>
      </c>
      <c r="U51" s="33">
        <f>+'Nom 16'!Q51-'Nom 16 corr'!T51</f>
        <v>22.679999999999978</v>
      </c>
    </row>
    <row r="52" spans="1:21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0"/>
        <v>2519.2799999999997</v>
      </c>
      <c r="F52" s="8">
        <f t="shared" si="4"/>
        <v>419.88</v>
      </c>
      <c r="G52" s="9">
        <f t="shared" si="1"/>
        <v>2939.16</v>
      </c>
      <c r="H52" s="37">
        <v>3222.2</v>
      </c>
      <c r="I52" s="85">
        <v>3432.2</v>
      </c>
      <c r="J52" s="85">
        <v>210</v>
      </c>
      <c r="K52" s="10">
        <v>0</v>
      </c>
      <c r="L52" s="10">
        <v>140</v>
      </c>
      <c r="M52" s="11"/>
      <c r="N52" s="19">
        <v>303.57</v>
      </c>
      <c r="O52" s="13">
        <f t="shared" si="5"/>
        <v>981.37000000000012</v>
      </c>
      <c r="P52" s="13">
        <f>+'Nom 16'!M52-'Nom 16 corr'!O52</f>
        <v>210</v>
      </c>
      <c r="Q52" s="97">
        <f t="shared" si="6"/>
        <v>4413.57</v>
      </c>
      <c r="R52" s="5" t="s">
        <v>47</v>
      </c>
      <c r="S52" s="33">
        <f t="shared" si="2"/>
        <v>98.137000000000015</v>
      </c>
      <c r="T52" s="33">
        <f t="shared" si="3"/>
        <v>105.98796000000003</v>
      </c>
      <c r="U52" s="33">
        <f>+'Nom 16'!Q52-'Nom 16 corr'!T52</f>
        <v>22.679999999999993</v>
      </c>
    </row>
    <row r="53" spans="1:21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0"/>
        <v>2519.2799999999997</v>
      </c>
      <c r="F53" s="8">
        <f t="shared" si="4"/>
        <v>419.88</v>
      </c>
      <c r="G53" s="9">
        <f t="shared" si="1"/>
        <v>2939.16</v>
      </c>
      <c r="H53" s="37">
        <v>3222.2</v>
      </c>
      <c r="I53" s="85">
        <v>3432.2</v>
      </c>
      <c r="J53" s="85">
        <v>210</v>
      </c>
      <c r="K53" s="10">
        <v>75</v>
      </c>
      <c r="L53" s="10">
        <v>105</v>
      </c>
      <c r="M53" s="11"/>
      <c r="N53" s="12">
        <v>285.70999999999998</v>
      </c>
      <c r="O53" s="13">
        <f t="shared" si="5"/>
        <v>673.51000000000022</v>
      </c>
      <c r="P53" s="13">
        <f>+'Nom 16'!M53-'Nom 16 corr'!O53</f>
        <v>210</v>
      </c>
      <c r="Q53" s="97">
        <f t="shared" si="6"/>
        <v>4105.71</v>
      </c>
      <c r="R53" s="5" t="s">
        <v>47</v>
      </c>
      <c r="S53" s="33">
        <f t="shared" si="2"/>
        <v>67.351000000000028</v>
      </c>
      <c r="T53" s="33">
        <f t="shared" si="3"/>
        <v>72.73908000000003</v>
      </c>
      <c r="U53" s="33">
        <f>+'Nom 16'!Q53-'Nom 16 corr'!T53</f>
        <v>22.680000000000007</v>
      </c>
    </row>
    <row r="54" spans="1:21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0"/>
        <v>2519.2799999999997</v>
      </c>
      <c r="F54" s="8">
        <f t="shared" si="4"/>
        <v>419.88</v>
      </c>
      <c r="G54" s="9">
        <f t="shared" si="1"/>
        <v>2939.16</v>
      </c>
      <c r="H54" s="37">
        <v>3222.2</v>
      </c>
      <c r="I54" s="85">
        <v>3432</v>
      </c>
      <c r="J54" s="85">
        <v>209.80000000000018</v>
      </c>
      <c r="K54" s="10">
        <v>375</v>
      </c>
      <c r="L54" s="10"/>
      <c r="M54" s="11"/>
      <c r="N54" s="12">
        <v>285.70999999999998</v>
      </c>
      <c r="O54" s="13">
        <f t="shared" si="5"/>
        <v>478.71</v>
      </c>
      <c r="P54" s="13">
        <f>+'Nom 16'!M54-'Nom 16 corr'!O54</f>
        <v>209.80000000000024</v>
      </c>
      <c r="Q54" s="97">
        <f t="shared" si="6"/>
        <v>3910.71</v>
      </c>
      <c r="R54" s="5" t="s">
        <v>47</v>
      </c>
      <c r="S54" s="33">
        <f t="shared" si="2"/>
        <v>47.871000000000002</v>
      </c>
      <c r="T54" s="33">
        <f t="shared" si="3"/>
        <v>51.700680000000006</v>
      </c>
      <c r="U54" s="33">
        <f>+'Nom 16'!Q54-'Nom 16 corr'!T54</f>
        <v>22.658400000000029</v>
      </c>
    </row>
    <row r="55" spans="1:21" ht="16.149999999999999" customHeight="1" thickBot="1" x14ac:dyDescent="0.3"/>
    <row r="56" spans="1:21" ht="18" thickBot="1" x14ac:dyDescent="0.35">
      <c r="A56" s="23"/>
      <c r="B56" s="24"/>
      <c r="C56" s="25">
        <f t="shared" ref="C56:Q56" si="7">SUM(C4:C55)</f>
        <v>256625</v>
      </c>
      <c r="D56" s="25">
        <f t="shared" si="7"/>
        <v>21413.879999999997</v>
      </c>
      <c r="E56" s="25">
        <f t="shared" si="7"/>
        <v>128483.27999999996</v>
      </c>
      <c r="F56" s="25">
        <f t="shared" si="7"/>
        <v>21413.879999999997</v>
      </c>
      <c r="G56" s="25">
        <f t="shared" si="7"/>
        <v>149897.16000000012</v>
      </c>
      <c r="H56" s="25">
        <f t="shared" si="7"/>
        <v>158902</v>
      </c>
      <c r="I56" s="25">
        <f t="shared" si="7"/>
        <v>170660.00000000009</v>
      </c>
      <c r="J56" s="25">
        <f t="shared" si="7"/>
        <v>11757.999999999996</v>
      </c>
      <c r="K56" s="26">
        <f t="shared" si="7"/>
        <v>8625</v>
      </c>
      <c r="L56" s="26">
        <f t="shared" si="7"/>
        <v>4060</v>
      </c>
      <c r="M56" s="26">
        <f t="shared" si="7"/>
        <v>4993.2499999999991</v>
      </c>
      <c r="N56" s="27">
        <f t="shared" si="7"/>
        <v>20883.369999999988</v>
      </c>
      <c r="O56" s="25">
        <f t="shared" si="7"/>
        <v>89296.460000000021</v>
      </c>
      <c r="P56" s="25">
        <f t="shared" si="7"/>
        <v>11631.659999999993</v>
      </c>
      <c r="Q56" s="25">
        <f t="shared" si="7"/>
        <v>259956.45999999993</v>
      </c>
      <c r="S56" s="25">
        <f>SUM(S4:S55)</f>
        <v>8929.6460000000025</v>
      </c>
      <c r="T56" s="25">
        <f>SUM(T4:T55)</f>
        <v>9644.0176800000027</v>
      </c>
      <c r="U56" s="25">
        <f>SUM(U4:U55)</f>
        <v>1256.2192799999996</v>
      </c>
    </row>
    <row r="57" spans="1:21" x14ac:dyDescent="0.25">
      <c r="H57" s="15"/>
      <c r="I57" s="15"/>
      <c r="J57" s="15"/>
      <c r="O57" s="15"/>
      <c r="P57" s="15"/>
    </row>
    <row r="58" spans="1:21" x14ac:dyDescent="0.25">
      <c r="H58" s="15"/>
      <c r="I58" s="15"/>
      <c r="J58" s="15"/>
      <c r="K58">
        <f>+K56/75</f>
        <v>115</v>
      </c>
      <c r="L58" s="28">
        <f>SUM(L56)/35</f>
        <v>116</v>
      </c>
    </row>
    <row r="59" spans="1:21" x14ac:dyDescent="0.25">
      <c r="F59" s="15"/>
      <c r="H59" s="15">
        <f>H56+O56</f>
        <v>248198.46000000002</v>
      </c>
      <c r="I59" s="15"/>
      <c r="J59" s="15"/>
      <c r="M59" s="15"/>
    </row>
    <row r="60" spans="1:21" x14ac:dyDescent="0.25">
      <c r="H60" s="15">
        <f>'[1]Nom 9'!H53</f>
        <v>131178.05999999994</v>
      </c>
      <c r="I60" s="15"/>
      <c r="J60" s="15"/>
      <c r="K60" s="40"/>
      <c r="L60" s="15"/>
    </row>
    <row r="61" spans="1:21" x14ac:dyDescent="0.25">
      <c r="H61" s="15">
        <f>[2]Rino!H8</f>
        <v>75398.810000000012</v>
      </c>
      <c r="I61" s="15"/>
      <c r="J61" s="15"/>
    </row>
    <row r="62" spans="1:21" ht="15.75" thickBot="1" x14ac:dyDescent="0.3">
      <c r="H62" s="15">
        <f>H60+H61</f>
        <v>206576.86999999994</v>
      </c>
      <c r="I62" s="15"/>
      <c r="J62" s="15"/>
    </row>
    <row r="63" spans="1:21" x14ac:dyDescent="0.25">
      <c r="K63" s="87"/>
      <c r="L63" s="88" t="s">
        <v>97</v>
      </c>
      <c r="M63" s="89" t="s">
        <v>98</v>
      </c>
      <c r="N63" s="90" t="s">
        <v>99</v>
      </c>
      <c r="O63" s="96" t="s">
        <v>100</v>
      </c>
    </row>
    <row r="64" spans="1:21" x14ac:dyDescent="0.25">
      <c r="K64" s="91" t="s">
        <v>101</v>
      </c>
      <c r="L64" s="15">
        <f>+'Nom 16'!H56</f>
        <v>158902</v>
      </c>
      <c r="M64" s="15">
        <f>+I56</f>
        <v>170660.00000000009</v>
      </c>
      <c r="N64" s="15">
        <v>0</v>
      </c>
      <c r="O64" s="92">
        <f>+M64-L64</f>
        <v>11758.000000000087</v>
      </c>
    </row>
    <row r="65" spans="11:15" x14ac:dyDescent="0.25">
      <c r="K65" s="91" t="s">
        <v>102</v>
      </c>
      <c r="L65" s="15">
        <f>+'Nom 16'!M56</f>
        <v>100928.12000000001</v>
      </c>
      <c r="M65" s="15">
        <f>+O56</f>
        <v>89296.460000000021</v>
      </c>
      <c r="N65" s="15">
        <f>+L65-M65</f>
        <v>11631.659999999989</v>
      </c>
      <c r="O65" s="92">
        <v>0</v>
      </c>
    </row>
    <row r="66" spans="11:15" ht="15.75" thickBot="1" x14ac:dyDescent="0.3">
      <c r="K66" s="93" t="s">
        <v>103</v>
      </c>
      <c r="L66" s="94">
        <f>+'Nom 16'!Q56</f>
        <v>10900.236960000002</v>
      </c>
      <c r="M66" s="94">
        <f>+T56</f>
        <v>9644.0176800000027</v>
      </c>
      <c r="N66" s="94">
        <f>+L66-M66</f>
        <v>1256.2192799999993</v>
      </c>
      <c r="O66" s="95">
        <v>0</v>
      </c>
    </row>
    <row r="67" spans="11:15" x14ac:dyDescent="0.25">
      <c r="L67" s="15"/>
    </row>
  </sheetData>
  <mergeCells count="2">
    <mergeCell ref="A1:Q1"/>
    <mergeCell ref="A2:Q2"/>
  </mergeCells>
  <pageMargins left="0.7" right="0.7" top="0.75" bottom="0.75" header="0.3" footer="0.3"/>
  <pageSetup scale="45" fitToHeight="0" orientation="landscape" verticalDpi="0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8">
    <pageSetUpPr fitToPage="1"/>
  </sheetPr>
  <dimension ref="A1:R69"/>
  <sheetViews>
    <sheetView showGridLines="0" topLeftCell="A43" zoomScaleNormal="100" workbookViewId="0">
      <selection activeCell="L51" sqref="L51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105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6" si="0">H4+M4</f>
        <v>0</v>
      </c>
      <c r="O4" s="81" t="s">
        <v>48</v>
      </c>
      <c r="P4" s="82">
        <f t="shared" ref="P4:P56" si="1">+M4*0.1</f>
        <v>0</v>
      </c>
      <c r="Q4" s="82">
        <f t="shared" ref="Q4:Q56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6" si="3">D5*6</f>
        <v>2519.2799999999997</v>
      </c>
      <c r="F5" s="8">
        <f t="shared" ref="F5:F56" si="4">$D$4</f>
        <v>419.88</v>
      </c>
      <c r="G5" s="9">
        <f t="shared" ref="G5:G56" si="5">E5+F5</f>
        <v>2939.16</v>
      </c>
      <c r="H5" s="37">
        <v>3354.2</v>
      </c>
      <c r="I5" s="10">
        <v>300</v>
      </c>
      <c r="J5" s="10">
        <v>0</v>
      </c>
      <c r="K5" s="11"/>
      <c r="L5" s="12"/>
      <c r="M5" s="13">
        <f>C5-H5-I5+L5-K5-J5</f>
        <v>345.80000000000018</v>
      </c>
      <c r="N5" s="14">
        <f t="shared" si="0"/>
        <v>3700</v>
      </c>
      <c r="O5" s="29" t="s">
        <v>47</v>
      </c>
      <c r="P5" s="33">
        <f t="shared" si="1"/>
        <v>34.58000000000002</v>
      </c>
      <c r="Q5" s="33">
        <f t="shared" si="2"/>
        <v>37.346400000000024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3354.4</v>
      </c>
      <c r="I6" s="18">
        <v>225</v>
      </c>
      <c r="J6" s="18">
        <v>70</v>
      </c>
      <c r="K6" s="11"/>
      <c r="L6" s="12"/>
      <c r="M6" s="13">
        <f t="shared" ref="M6:M54" si="6">C6-H6-I6+L6-K6-J6</f>
        <v>11350.6</v>
      </c>
      <c r="N6" s="14">
        <f t="shared" si="0"/>
        <v>14705</v>
      </c>
      <c r="O6" s="30" t="s">
        <v>47</v>
      </c>
      <c r="P6" s="33">
        <f t="shared" si="1"/>
        <v>1135.0600000000002</v>
      </c>
      <c r="Q6" s="33">
        <f t="shared" si="2"/>
        <v>1225.8648000000003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3354.2</v>
      </c>
      <c r="I7" s="10">
        <v>150</v>
      </c>
      <c r="J7" s="10">
        <v>105</v>
      </c>
      <c r="K7" s="21"/>
      <c r="L7" s="12"/>
      <c r="M7" s="13">
        <f t="shared" si="6"/>
        <v>390.80000000000018</v>
      </c>
      <c r="N7" s="14">
        <f t="shared" si="0"/>
        <v>3745</v>
      </c>
      <c r="O7" s="36" t="s">
        <v>47</v>
      </c>
      <c r="P7" s="33">
        <f t="shared" si="1"/>
        <v>39.08000000000002</v>
      </c>
      <c r="Q7" s="33">
        <f t="shared" si="2"/>
        <v>42.206400000000023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3393.4</v>
      </c>
      <c r="I8" s="10">
        <v>300</v>
      </c>
      <c r="J8" s="10">
        <v>105</v>
      </c>
      <c r="K8" s="11"/>
      <c r="L8" s="12">
        <v>160.71</v>
      </c>
      <c r="M8" s="13">
        <f t="shared" si="6"/>
        <v>862.31</v>
      </c>
      <c r="N8" s="14">
        <f t="shared" si="0"/>
        <v>4255.71</v>
      </c>
      <c r="O8" s="30" t="s">
        <v>47</v>
      </c>
      <c r="P8" s="33">
        <f t="shared" si="1"/>
        <v>86.230999999999995</v>
      </c>
      <c r="Q8" s="33">
        <f t="shared" si="2"/>
        <v>93.129480000000001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3248</v>
      </c>
      <c r="I9" s="10">
        <v>0</v>
      </c>
      <c r="J9" s="10">
        <v>105</v>
      </c>
      <c r="K9" s="16">
        <v>257.74</v>
      </c>
      <c r="L9" s="12">
        <v>571.42999999999995</v>
      </c>
      <c r="M9" s="22">
        <f>C9-H9-I9+L9-K9-J9</f>
        <v>960.68999999999983</v>
      </c>
      <c r="N9" s="14">
        <f t="shared" si="0"/>
        <v>4208.6899999999996</v>
      </c>
      <c r="O9" s="30" t="s">
        <v>47</v>
      </c>
      <c r="P9" s="33">
        <f t="shared" si="1"/>
        <v>96.068999999999988</v>
      </c>
      <c r="Q9" s="33">
        <f t="shared" si="2"/>
        <v>103.75452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3354.2</v>
      </c>
      <c r="I10" s="10">
        <v>0</v>
      </c>
      <c r="J10" s="10">
        <v>0</v>
      </c>
      <c r="K10" s="20"/>
      <c r="L10" s="19"/>
      <c r="M10" s="13">
        <f t="shared" si="6"/>
        <v>645.80000000000018</v>
      </c>
      <c r="N10" s="14">
        <f t="shared" si="0"/>
        <v>4000</v>
      </c>
      <c r="O10" s="30" t="s">
        <v>49</v>
      </c>
      <c r="P10" s="33">
        <f t="shared" si="1"/>
        <v>64.580000000000027</v>
      </c>
      <c r="Q10" s="33">
        <f t="shared" si="2"/>
        <v>69.746400000000037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150</v>
      </c>
      <c r="J11" s="10">
        <v>105</v>
      </c>
      <c r="K11" s="11"/>
      <c r="L11" s="12"/>
      <c r="M11" s="13">
        <f>C11-H11-I11+L11-K11-J11</f>
        <v>3390.6</v>
      </c>
      <c r="N11" s="14">
        <f t="shared" si="0"/>
        <v>6745</v>
      </c>
      <c r="O11" s="30" t="s">
        <v>47</v>
      </c>
      <c r="P11" s="33">
        <f t="shared" si="1"/>
        <v>339.06</v>
      </c>
      <c r="Q11" s="33">
        <f t="shared" si="2"/>
        <v>366.18480000000005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3432.2</v>
      </c>
      <c r="I12" s="10">
        <v>150</v>
      </c>
      <c r="J12" s="10">
        <v>35</v>
      </c>
      <c r="K12" s="11"/>
      <c r="L12" s="12">
        <v>357.14</v>
      </c>
      <c r="M12" s="13">
        <f>C12-H12-I12+L12-K12-J12</f>
        <v>1739.94</v>
      </c>
      <c r="N12" s="14">
        <f t="shared" si="0"/>
        <v>5172.1399999999994</v>
      </c>
      <c r="O12" s="30" t="s">
        <v>47</v>
      </c>
      <c r="P12" s="33">
        <f t="shared" si="1"/>
        <v>173.99400000000003</v>
      </c>
      <c r="Q12" s="33">
        <f t="shared" si="2"/>
        <v>187.91352000000003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3505.6</v>
      </c>
      <c r="I13" s="10">
        <v>225</v>
      </c>
      <c r="J13" s="10">
        <v>105</v>
      </c>
      <c r="K13" s="21"/>
      <c r="L13" s="12">
        <v>500</v>
      </c>
      <c r="M13" s="13">
        <f>C13-H13-I13+L13-K13-J13</f>
        <v>164.40000000000009</v>
      </c>
      <c r="N13" s="14">
        <f t="shared" si="0"/>
        <v>3670</v>
      </c>
      <c r="O13" s="30" t="s">
        <v>47</v>
      </c>
      <c r="P13" s="33">
        <f t="shared" si="1"/>
        <v>16.440000000000008</v>
      </c>
      <c r="Q13" s="33">
        <f t="shared" si="2"/>
        <v>17.755200000000009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3120.4</v>
      </c>
      <c r="I14" s="10">
        <v>75</v>
      </c>
      <c r="J14" s="10">
        <v>105</v>
      </c>
      <c r="K14" s="21">
        <v>293.92</v>
      </c>
      <c r="L14" s="12"/>
      <c r="M14" s="22">
        <f>C14-H14-I14+L14-K14-J14</f>
        <v>405.67999999999989</v>
      </c>
      <c r="N14" s="14">
        <f t="shared" si="0"/>
        <v>3526.08</v>
      </c>
      <c r="O14" s="36" t="s">
        <v>47</v>
      </c>
      <c r="P14" s="33">
        <f t="shared" si="1"/>
        <v>40.567999999999991</v>
      </c>
      <c r="Q14" s="33">
        <f t="shared" si="2"/>
        <v>43.813439999999993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>
        <v>0</v>
      </c>
      <c r="J15" s="10">
        <v>0</v>
      </c>
      <c r="K15" s="11"/>
      <c r="L15" s="12"/>
      <c r="M15" s="13">
        <f t="shared" si="6"/>
        <v>645.59999999999991</v>
      </c>
      <c r="N15" s="14">
        <f t="shared" si="0"/>
        <v>4000</v>
      </c>
      <c r="O15" s="30" t="s">
        <v>47</v>
      </c>
      <c r="P15" s="33">
        <f t="shared" si="1"/>
        <v>64.559999999999988</v>
      </c>
      <c r="Q15" s="33">
        <f t="shared" si="2"/>
        <v>69.724799999999988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3354.4</v>
      </c>
      <c r="I16" s="10">
        <v>300</v>
      </c>
      <c r="J16" s="10">
        <v>0</v>
      </c>
      <c r="K16" s="21"/>
      <c r="L16" s="12"/>
      <c r="M16" s="13">
        <f>C16-H16-I16+L16-K16-J16</f>
        <v>345.59999999999991</v>
      </c>
      <c r="N16" s="14">
        <f t="shared" si="0"/>
        <v>3700</v>
      </c>
      <c r="O16" s="29" t="s">
        <v>47</v>
      </c>
      <c r="P16" s="33">
        <f t="shared" si="1"/>
        <v>34.559999999999995</v>
      </c>
      <c r="Q16" s="33">
        <f t="shared" si="2"/>
        <v>37.324799999999996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3354.2</v>
      </c>
      <c r="I17" s="10">
        <v>0</v>
      </c>
      <c r="J17" s="10">
        <v>0</v>
      </c>
      <c r="K17" s="21"/>
      <c r="L17" s="19"/>
      <c r="M17" s="13">
        <f t="shared" si="6"/>
        <v>645.80000000000018</v>
      </c>
      <c r="N17" s="14">
        <f t="shared" si="0"/>
        <v>4000</v>
      </c>
      <c r="O17" s="29" t="s">
        <v>47</v>
      </c>
      <c r="P17" s="33">
        <f t="shared" si="1"/>
        <v>64.580000000000027</v>
      </c>
      <c r="Q17" s="33">
        <f t="shared" si="2"/>
        <v>69.746400000000037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3354.2</v>
      </c>
      <c r="I18" s="10">
        <v>225</v>
      </c>
      <c r="J18" s="10">
        <v>35</v>
      </c>
      <c r="K18" s="21"/>
      <c r="L18" s="12"/>
      <c r="M18" s="13">
        <f t="shared" si="6"/>
        <v>385.80000000000018</v>
      </c>
      <c r="N18" s="14">
        <f t="shared" si="0"/>
        <v>3740</v>
      </c>
      <c r="O18" s="29" t="s">
        <v>47</v>
      </c>
      <c r="P18" s="33">
        <f t="shared" si="1"/>
        <v>38.58000000000002</v>
      </c>
      <c r="Q18" s="33">
        <f t="shared" si="2"/>
        <v>41.666400000000024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2376</v>
      </c>
      <c r="I19" s="10">
        <v>0</v>
      </c>
      <c r="J19" s="10">
        <v>0</v>
      </c>
      <c r="K19" s="16">
        <v>908.03</v>
      </c>
      <c r="L19" s="12"/>
      <c r="M19" s="13">
        <f t="shared" si="6"/>
        <v>6715.97</v>
      </c>
      <c r="N19" s="14">
        <f t="shared" si="0"/>
        <v>9091.9700000000012</v>
      </c>
      <c r="O19" s="29" t="s">
        <v>50</v>
      </c>
      <c r="P19" s="33">
        <f t="shared" si="1"/>
        <v>671.59700000000009</v>
      </c>
      <c r="Q19" s="33">
        <f t="shared" si="2"/>
        <v>725.3247600000002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3354.4</v>
      </c>
      <c r="I20" s="10">
        <v>300</v>
      </c>
      <c r="J20" s="10">
        <v>140</v>
      </c>
      <c r="K20" s="11"/>
      <c r="L20" s="19"/>
      <c r="M20" s="13">
        <f t="shared" si="6"/>
        <v>4205.6000000000004</v>
      </c>
      <c r="N20" s="14">
        <f t="shared" si="0"/>
        <v>7560</v>
      </c>
      <c r="O20" s="29" t="s">
        <v>47</v>
      </c>
      <c r="P20" s="33">
        <f t="shared" si="1"/>
        <v>420.56000000000006</v>
      </c>
      <c r="Q20" s="33">
        <f t="shared" si="2"/>
        <v>454.20480000000009</v>
      </c>
    </row>
    <row r="21" spans="1:17" s="55" customFormat="1" ht="13.5" customHeight="1" x14ac:dyDescent="0.25">
      <c r="A21" s="5">
        <v>204</v>
      </c>
      <c r="B21" s="6" t="s">
        <v>33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>
        <v>150</v>
      </c>
      <c r="J21" s="10">
        <v>35</v>
      </c>
      <c r="K21" s="11"/>
      <c r="L21" s="19"/>
      <c r="M21" s="13">
        <f t="shared" si="6"/>
        <v>460.59999999999991</v>
      </c>
      <c r="N21" s="14">
        <f t="shared" si="0"/>
        <v>3815</v>
      </c>
      <c r="O21" s="29" t="s">
        <v>47</v>
      </c>
      <c r="P21" s="33">
        <f t="shared" si="1"/>
        <v>46.059999999999995</v>
      </c>
      <c r="Q21" s="33">
        <f t="shared" si="2"/>
        <v>49.744799999999998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0</v>
      </c>
      <c r="J22" s="10">
        <v>0</v>
      </c>
      <c r="K22" s="11"/>
      <c r="L22" s="19"/>
      <c r="M22" s="13">
        <f t="shared" si="6"/>
        <v>645.59999999999991</v>
      </c>
      <c r="N22" s="14">
        <f t="shared" si="0"/>
        <v>4000</v>
      </c>
      <c r="O22" s="29" t="s">
        <v>50</v>
      </c>
      <c r="P22" s="33">
        <f t="shared" si="1"/>
        <v>64.559999999999988</v>
      </c>
      <c r="Q22" s="33">
        <f t="shared" si="2"/>
        <v>69.724799999999988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3354.2</v>
      </c>
      <c r="I23" s="10">
        <v>225</v>
      </c>
      <c r="J23" s="10">
        <v>70</v>
      </c>
      <c r="K23" s="21"/>
      <c r="L23" s="19"/>
      <c r="M23" s="13">
        <f t="shared" si="6"/>
        <v>1350.8000000000002</v>
      </c>
      <c r="N23" s="14">
        <f t="shared" si="0"/>
        <v>4705</v>
      </c>
      <c r="O23" s="29" t="s">
        <v>47</v>
      </c>
      <c r="P23" s="33">
        <f t="shared" si="1"/>
        <v>135.08000000000001</v>
      </c>
      <c r="Q23" s="33">
        <f t="shared" si="2"/>
        <v>145.88640000000001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3354.4</v>
      </c>
      <c r="I24" s="10">
        <v>0</v>
      </c>
      <c r="J24" s="10">
        <v>0</v>
      </c>
      <c r="K24" s="21"/>
      <c r="L24" s="12"/>
      <c r="M24" s="13">
        <f t="shared" si="6"/>
        <v>145.59999999999991</v>
      </c>
      <c r="N24" s="14">
        <f t="shared" si="0"/>
        <v>3500</v>
      </c>
      <c r="O24" s="29" t="s">
        <v>49</v>
      </c>
      <c r="P24" s="33">
        <f t="shared" si="1"/>
        <v>14.559999999999992</v>
      </c>
      <c r="Q24" s="33">
        <f t="shared" si="2"/>
        <v>15.724799999999991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3354.2</v>
      </c>
      <c r="I25" s="10">
        <v>300</v>
      </c>
      <c r="J25" s="10">
        <v>105</v>
      </c>
      <c r="K25" s="21"/>
      <c r="L25" s="12"/>
      <c r="M25" s="13">
        <f t="shared" si="6"/>
        <v>240.80000000000018</v>
      </c>
      <c r="N25" s="14">
        <f t="shared" si="0"/>
        <v>3595</v>
      </c>
      <c r="O25" s="36" t="s">
        <v>47</v>
      </c>
      <c r="P25" s="33">
        <f t="shared" si="1"/>
        <v>24.08000000000002</v>
      </c>
      <c r="Q25" s="33">
        <f t="shared" si="2"/>
        <v>26.006400000000024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3354.4</v>
      </c>
      <c r="I26" s="10">
        <v>300</v>
      </c>
      <c r="J26" s="10">
        <v>105</v>
      </c>
      <c r="K26" s="21"/>
      <c r="L26" s="12"/>
      <c r="M26" s="13">
        <f t="shared" si="6"/>
        <v>1240.5999999999999</v>
      </c>
      <c r="N26" s="14">
        <f t="shared" si="0"/>
        <v>4595</v>
      </c>
      <c r="O26" s="29" t="s">
        <v>47</v>
      </c>
      <c r="P26" s="33">
        <f t="shared" si="1"/>
        <v>124.06</v>
      </c>
      <c r="Q26" s="33">
        <f t="shared" si="2"/>
        <v>133.98480000000001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3354.2</v>
      </c>
      <c r="I27" s="10">
        <v>300</v>
      </c>
      <c r="J27" s="10">
        <v>0</v>
      </c>
      <c r="K27" s="21"/>
      <c r="L27" s="19"/>
      <c r="M27" s="13">
        <f t="shared" si="6"/>
        <v>4345.8</v>
      </c>
      <c r="N27" s="14">
        <f t="shared" si="0"/>
        <v>7700</v>
      </c>
      <c r="O27" s="29" t="s">
        <v>47</v>
      </c>
      <c r="P27" s="33">
        <f t="shared" si="1"/>
        <v>434.58000000000004</v>
      </c>
      <c r="Q27" s="33">
        <f t="shared" si="2"/>
        <v>469.34640000000007</v>
      </c>
    </row>
    <row r="28" spans="1:17" s="55" customFormat="1" x14ac:dyDescent="0.25">
      <c r="A28" s="5">
        <v>226</v>
      </c>
      <c r="B28" s="6" t="s">
        <v>40</v>
      </c>
      <c r="C28" s="7">
        <v>7500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3354.2</v>
      </c>
      <c r="I28" s="10">
        <v>300</v>
      </c>
      <c r="J28" s="10">
        <v>70</v>
      </c>
      <c r="K28" s="21"/>
      <c r="L28" s="12"/>
      <c r="M28" s="13">
        <f t="shared" si="6"/>
        <v>3775.8</v>
      </c>
      <c r="N28" s="14">
        <f t="shared" si="0"/>
        <v>7130</v>
      </c>
      <c r="O28" s="29" t="s">
        <v>47</v>
      </c>
      <c r="P28" s="33">
        <f t="shared" si="1"/>
        <v>377.58000000000004</v>
      </c>
      <c r="Q28" s="33">
        <f t="shared" si="2"/>
        <v>407.78640000000007</v>
      </c>
    </row>
    <row r="29" spans="1:17" s="55" customFormat="1" x14ac:dyDescent="0.25">
      <c r="A29" s="5">
        <v>227</v>
      </c>
      <c r="B29" s="6" t="s">
        <v>41</v>
      </c>
      <c r="C29" s="7">
        <v>6000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3505.6</v>
      </c>
      <c r="I29" s="10">
        <v>300</v>
      </c>
      <c r="J29" s="10">
        <v>105</v>
      </c>
      <c r="K29" s="21"/>
      <c r="L29" s="12">
        <v>857.14</v>
      </c>
      <c r="M29" s="13">
        <f t="shared" si="6"/>
        <v>2946.54</v>
      </c>
      <c r="N29" s="14">
        <f t="shared" si="0"/>
        <v>6452.1399999999994</v>
      </c>
      <c r="O29" s="29" t="s">
        <v>47</v>
      </c>
      <c r="P29" s="33">
        <f t="shared" si="1"/>
        <v>294.654</v>
      </c>
      <c r="Q29" s="33">
        <f t="shared" si="2"/>
        <v>318.22632000000004</v>
      </c>
    </row>
    <row r="30" spans="1:17" s="55" customFormat="1" x14ac:dyDescent="0.25">
      <c r="A30" s="5">
        <v>233</v>
      </c>
      <c r="B30" s="6" t="s">
        <v>42</v>
      </c>
      <c r="C30" s="7">
        <v>6250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3354.4</v>
      </c>
      <c r="I30" s="10">
        <v>300</v>
      </c>
      <c r="J30" s="10">
        <v>105</v>
      </c>
      <c r="K30" s="21"/>
      <c r="L30" s="12"/>
      <c r="M30" s="13">
        <f t="shared" si="6"/>
        <v>2490.6</v>
      </c>
      <c r="N30" s="14">
        <f t="shared" si="0"/>
        <v>5845</v>
      </c>
      <c r="O30" s="31" t="s">
        <v>47</v>
      </c>
      <c r="P30" s="33">
        <f t="shared" si="1"/>
        <v>249.06</v>
      </c>
      <c r="Q30" s="33">
        <f t="shared" si="2"/>
        <v>268.98480000000001</v>
      </c>
    </row>
    <row r="31" spans="1:17" s="55" customFormat="1" x14ac:dyDescent="0.25">
      <c r="A31" s="5">
        <v>237</v>
      </c>
      <c r="B31" s="6" t="s">
        <v>43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3354.4</v>
      </c>
      <c r="I31" s="10">
        <v>225</v>
      </c>
      <c r="J31" s="10">
        <v>0</v>
      </c>
      <c r="K31" s="11"/>
      <c r="L31" s="19"/>
      <c r="M31" s="13">
        <f>C31-H31-I31+L31-K31-J31</f>
        <v>1420.6</v>
      </c>
      <c r="N31" s="14">
        <f>H31+M31</f>
        <v>4775</v>
      </c>
      <c r="O31" s="29" t="s">
        <v>47</v>
      </c>
      <c r="P31" s="33">
        <f>+M31*0.1</f>
        <v>142.06</v>
      </c>
      <c r="Q31" s="33">
        <f t="shared" si="2"/>
        <v>153.4248</v>
      </c>
    </row>
    <row r="32" spans="1:17" s="55" customFormat="1" x14ac:dyDescent="0.25">
      <c r="A32" s="5">
        <v>244</v>
      </c>
      <c r="B32" s="6" t="s">
        <v>44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225</v>
      </c>
      <c r="J32" s="10">
        <v>70</v>
      </c>
      <c r="K32" s="21"/>
      <c r="L32" s="12"/>
      <c r="M32" s="13">
        <f>C32-H32-I32+L32-K32-J32</f>
        <v>1350.6</v>
      </c>
      <c r="N32" s="14">
        <f t="shared" si="0"/>
        <v>4705</v>
      </c>
      <c r="O32" s="29" t="s">
        <v>47</v>
      </c>
      <c r="P32" s="33">
        <f t="shared" si="1"/>
        <v>135.06</v>
      </c>
      <c r="Q32" s="33">
        <f t="shared" si="2"/>
        <v>145.8648</v>
      </c>
    </row>
    <row r="33" spans="1:17" s="55" customFormat="1" x14ac:dyDescent="0.25">
      <c r="A33" s="5">
        <v>245</v>
      </c>
      <c r="B33" s="6" t="s">
        <v>45</v>
      </c>
      <c r="C33" s="7">
        <v>5000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3354.2</v>
      </c>
      <c r="I33" s="10">
        <v>0</v>
      </c>
      <c r="J33" s="10">
        <v>0</v>
      </c>
      <c r="K33" s="11"/>
      <c r="L33" s="12"/>
      <c r="M33" s="13">
        <f t="shared" si="6"/>
        <v>1645.8000000000002</v>
      </c>
      <c r="N33" s="14">
        <f t="shared" si="0"/>
        <v>5000</v>
      </c>
      <c r="O33" s="34">
        <v>2</v>
      </c>
      <c r="P33" s="33">
        <f t="shared" si="1"/>
        <v>164.58000000000004</v>
      </c>
      <c r="Q33" s="33">
        <f t="shared" si="2"/>
        <v>177.74640000000005</v>
      </c>
    </row>
    <row r="34" spans="1:17" s="55" customFormat="1" x14ac:dyDescent="0.25">
      <c r="A34" s="5">
        <v>252</v>
      </c>
      <c r="B34" s="6" t="s">
        <v>53</v>
      </c>
      <c r="C34" s="7">
        <v>4000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3354.4</v>
      </c>
      <c r="I34" s="10">
        <v>150</v>
      </c>
      <c r="J34" s="10">
        <v>140</v>
      </c>
      <c r="K34" s="21"/>
      <c r="L34" s="19"/>
      <c r="M34" s="13">
        <f t="shared" si="6"/>
        <v>355.59999999999991</v>
      </c>
      <c r="N34" s="14">
        <f t="shared" si="0"/>
        <v>3710</v>
      </c>
      <c r="O34" s="5" t="s">
        <v>47</v>
      </c>
      <c r="P34" s="33">
        <f t="shared" si="1"/>
        <v>35.559999999999995</v>
      </c>
      <c r="Q34" s="33">
        <f t="shared" si="2"/>
        <v>38.404799999999994</v>
      </c>
    </row>
    <row r="35" spans="1:17" s="55" customFormat="1" x14ac:dyDescent="0.25">
      <c r="A35" s="5">
        <v>260</v>
      </c>
      <c r="B35" s="6" t="s">
        <v>54</v>
      </c>
      <c r="C35" s="7">
        <v>5000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3354.4</v>
      </c>
      <c r="I35" s="10">
        <v>0</v>
      </c>
      <c r="J35" s="10">
        <v>0</v>
      </c>
      <c r="K35" s="11"/>
      <c r="L35" s="19"/>
      <c r="M35" s="13">
        <f t="shared" si="6"/>
        <v>1645.6</v>
      </c>
      <c r="N35" s="14">
        <f t="shared" si="0"/>
        <v>5000</v>
      </c>
      <c r="O35" s="5" t="s">
        <v>47</v>
      </c>
      <c r="P35" s="33">
        <f t="shared" si="1"/>
        <v>164.56</v>
      </c>
      <c r="Q35" s="33">
        <f t="shared" si="2"/>
        <v>177.72480000000002</v>
      </c>
    </row>
    <row r="36" spans="1:17" s="55" customFormat="1" x14ac:dyDescent="0.25">
      <c r="A36" s="5">
        <v>261</v>
      </c>
      <c r="B36" s="6" t="s">
        <v>55</v>
      </c>
      <c r="C36" s="7">
        <v>4000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2370.8000000000002</v>
      </c>
      <c r="I36" s="10">
        <v>225</v>
      </c>
      <c r="J36" s="10">
        <v>105</v>
      </c>
      <c r="K36" s="16">
        <v>913.35</v>
      </c>
      <c r="L36" s="19"/>
      <c r="M36" s="13">
        <f t="shared" si="6"/>
        <v>385.8499999999998</v>
      </c>
      <c r="N36" s="14">
        <f t="shared" si="0"/>
        <v>2756.65</v>
      </c>
      <c r="O36" s="5" t="s">
        <v>47</v>
      </c>
      <c r="P36" s="33">
        <f t="shared" si="1"/>
        <v>38.58499999999998</v>
      </c>
      <c r="Q36" s="33">
        <f t="shared" si="2"/>
        <v>41.671799999999983</v>
      </c>
    </row>
    <row r="37" spans="1:17" s="55" customFormat="1" x14ac:dyDescent="0.25">
      <c r="A37" s="5">
        <v>267</v>
      </c>
      <c r="B37" s="6" t="s">
        <v>56</v>
      </c>
      <c r="C37" s="7">
        <v>5000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2848.6</v>
      </c>
      <c r="I37" s="10">
        <v>225</v>
      </c>
      <c r="J37" s="10">
        <v>105</v>
      </c>
      <c r="K37" s="16">
        <v>435.88</v>
      </c>
      <c r="L37" s="12"/>
      <c r="M37" s="13">
        <f t="shared" si="6"/>
        <v>1385.52</v>
      </c>
      <c r="N37" s="14">
        <f t="shared" si="0"/>
        <v>4234.12</v>
      </c>
      <c r="O37" s="5" t="s">
        <v>47</v>
      </c>
      <c r="P37" s="33">
        <f t="shared" si="1"/>
        <v>138.55199999999999</v>
      </c>
      <c r="Q37" s="33">
        <f t="shared" si="2"/>
        <v>149.63615999999999</v>
      </c>
    </row>
    <row r="38" spans="1:17" s="55" customFormat="1" x14ac:dyDescent="0.25">
      <c r="A38" s="5">
        <v>268</v>
      </c>
      <c r="B38" s="6" t="s">
        <v>57</v>
      </c>
      <c r="C38" s="7">
        <v>4000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3354.4</v>
      </c>
      <c r="I38" s="10">
        <v>150</v>
      </c>
      <c r="J38" s="10">
        <v>35</v>
      </c>
      <c r="K38" s="11"/>
      <c r="L38" s="19"/>
      <c r="M38" s="13">
        <f t="shared" si="6"/>
        <v>460.59999999999991</v>
      </c>
      <c r="N38" s="14">
        <f t="shared" si="0"/>
        <v>3815</v>
      </c>
      <c r="O38" s="5" t="s">
        <v>47</v>
      </c>
      <c r="P38" s="33">
        <f t="shared" si="1"/>
        <v>46.059999999999995</v>
      </c>
      <c r="Q38" s="33">
        <f t="shared" si="2"/>
        <v>49.744799999999998</v>
      </c>
    </row>
    <row r="39" spans="1:17" s="55" customFormat="1" x14ac:dyDescent="0.25">
      <c r="A39" s="5">
        <v>269</v>
      </c>
      <c r="B39" s="6" t="s">
        <v>58</v>
      </c>
      <c r="C39" s="7">
        <v>7000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3354.2</v>
      </c>
      <c r="I39" s="10">
        <v>375</v>
      </c>
      <c r="J39" s="10">
        <v>70</v>
      </c>
      <c r="K39" s="21"/>
      <c r="L39" s="19"/>
      <c r="M39" s="13">
        <f t="shared" si="6"/>
        <v>3200.8</v>
      </c>
      <c r="N39" s="14">
        <f>H39+M39</f>
        <v>6555</v>
      </c>
      <c r="O39" s="5" t="s">
        <v>47</v>
      </c>
      <c r="P39" s="33">
        <f t="shared" si="1"/>
        <v>320.08000000000004</v>
      </c>
      <c r="Q39" s="33">
        <f t="shared" si="2"/>
        <v>345.68640000000005</v>
      </c>
    </row>
    <row r="40" spans="1:17" s="55" customFormat="1" x14ac:dyDescent="0.25">
      <c r="A40" s="5">
        <v>271</v>
      </c>
      <c r="B40" s="6" t="s">
        <v>59</v>
      </c>
      <c r="C40" s="7">
        <v>3500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3095</v>
      </c>
      <c r="I40" s="10">
        <v>300</v>
      </c>
      <c r="J40" s="10">
        <v>105</v>
      </c>
      <c r="K40" s="21"/>
      <c r="L40" s="19"/>
      <c r="M40" s="22">
        <f>C40-H40-I40+L40-K40-J40</f>
        <v>0</v>
      </c>
      <c r="N40" s="14">
        <f t="shared" si="0"/>
        <v>3095</v>
      </c>
      <c r="O40" s="5" t="s">
        <v>47</v>
      </c>
      <c r="P40" s="33">
        <f t="shared" si="1"/>
        <v>0</v>
      </c>
      <c r="Q40" s="33">
        <f t="shared" si="2"/>
        <v>0</v>
      </c>
    </row>
    <row r="41" spans="1:17" s="55" customFormat="1" x14ac:dyDescent="0.25">
      <c r="A41" s="5">
        <v>275</v>
      </c>
      <c r="B41" s="6" t="s">
        <v>60</v>
      </c>
      <c r="C41" s="7">
        <v>3375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3354.4</v>
      </c>
      <c r="I41" s="10">
        <v>0</v>
      </c>
      <c r="J41" s="10">
        <v>0</v>
      </c>
      <c r="K41" s="21"/>
      <c r="L41" s="19"/>
      <c r="M41" s="22">
        <f>C41-H41-I41+L41-K41-J41</f>
        <v>20.599999999999909</v>
      </c>
      <c r="N41" s="14">
        <f t="shared" si="0"/>
        <v>3375</v>
      </c>
      <c r="O41" s="5" t="s">
        <v>47</v>
      </c>
      <c r="P41" s="33">
        <f t="shared" si="1"/>
        <v>2.0599999999999912</v>
      </c>
      <c r="Q41" s="33">
        <f t="shared" si="2"/>
        <v>2.2247999999999908</v>
      </c>
    </row>
    <row r="42" spans="1:17" s="55" customFormat="1" x14ac:dyDescent="0.25">
      <c r="A42" s="5">
        <v>276</v>
      </c>
      <c r="B42" s="6" t="s">
        <v>61</v>
      </c>
      <c r="C42" s="7">
        <v>5000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3354.2</v>
      </c>
      <c r="I42" s="10">
        <v>300</v>
      </c>
      <c r="J42" s="10">
        <v>105</v>
      </c>
      <c r="K42" s="11"/>
      <c r="L42" s="19"/>
      <c r="M42" s="13">
        <f t="shared" si="6"/>
        <v>1240.8000000000002</v>
      </c>
      <c r="N42" s="14">
        <f t="shared" si="0"/>
        <v>4595</v>
      </c>
      <c r="O42" s="5" t="s">
        <v>47</v>
      </c>
      <c r="P42" s="33">
        <f t="shared" si="1"/>
        <v>124.08000000000003</v>
      </c>
      <c r="Q42" s="33">
        <f t="shared" si="2"/>
        <v>134.00640000000004</v>
      </c>
    </row>
    <row r="43" spans="1:17" s="55" customFormat="1" x14ac:dyDescent="0.25">
      <c r="A43" s="5">
        <v>279</v>
      </c>
      <c r="B43" s="6" t="s">
        <v>63</v>
      </c>
      <c r="C43" s="7">
        <v>3500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3236.4</v>
      </c>
      <c r="I43" s="10">
        <v>0</v>
      </c>
      <c r="J43" s="10">
        <v>0</v>
      </c>
      <c r="K43" s="21"/>
      <c r="L43" s="19"/>
      <c r="M43" s="22">
        <f>C43-H43-I43+L43-K43-J43</f>
        <v>263.59999999999991</v>
      </c>
      <c r="N43" s="14">
        <f t="shared" si="0"/>
        <v>3500</v>
      </c>
      <c r="O43" s="5" t="s">
        <v>47</v>
      </c>
      <c r="P43" s="33">
        <f t="shared" si="1"/>
        <v>26.359999999999992</v>
      </c>
      <c r="Q43" s="33">
        <f t="shared" si="2"/>
        <v>28.468799999999995</v>
      </c>
    </row>
    <row r="44" spans="1:17" s="55" customFormat="1" x14ac:dyDescent="0.25">
      <c r="A44" s="5">
        <v>280</v>
      </c>
      <c r="B44" s="6" t="s">
        <v>64</v>
      </c>
      <c r="C44" s="7">
        <v>5000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3354.4</v>
      </c>
      <c r="I44" s="10">
        <v>0</v>
      </c>
      <c r="J44" s="10">
        <v>0</v>
      </c>
      <c r="K44" s="11"/>
      <c r="L44" s="19"/>
      <c r="M44" s="13">
        <f t="shared" si="6"/>
        <v>1645.6</v>
      </c>
      <c r="N44" s="14">
        <f t="shared" si="0"/>
        <v>5000</v>
      </c>
      <c r="O44" s="5" t="s">
        <v>47</v>
      </c>
      <c r="P44" s="33">
        <f t="shared" si="1"/>
        <v>164.56</v>
      </c>
      <c r="Q44" s="33">
        <f t="shared" si="2"/>
        <v>177.72480000000002</v>
      </c>
    </row>
    <row r="45" spans="1:17" s="55" customFormat="1" x14ac:dyDescent="0.25">
      <c r="A45" s="5">
        <v>281</v>
      </c>
      <c r="B45" s="6" t="s">
        <v>65</v>
      </c>
      <c r="C45" s="7">
        <v>8750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3354.2</v>
      </c>
      <c r="I45" s="10">
        <v>0</v>
      </c>
      <c r="J45" s="10">
        <v>0</v>
      </c>
      <c r="K45" s="11"/>
      <c r="L45" s="19"/>
      <c r="M45" s="13">
        <f t="shared" si="6"/>
        <v>5395.8</v>
      </c>
      <c r="N45" s="14">
        <f t="shared" si="0"/>
        <v>8750</v>
      </c>
      <c r="O45" s="5" t="s">
        <v>47</v>
      </c>
      <c r="P45" s="33">
        <f t="shared" si="1"/>
        <v>539.58000000000004</v>
      </c>
      <c r="Q45" s="33">
        <f t="shared" si="2"/>
        <v>582.74640000000011</v>
      </c>
    </row>
    <row r="46" spans="1:17" s="55" customFormat="1" x14ac:dyDescent="0.25">
      <c r="A46" s="5">
        <v>283</v>
      </c>
      <c r="B46" s="6" t="s">
        <v>66</v>
      </c>
      <c r="C46" s="7">
        <v>5000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3354.4</v>
      </c>
      <c r="I46" s="10">
        <v>0</v>
      </c>
      <c r="J46" s="10">
        <v>35</v>
      </c>
      <c r="K46" s="11"/>
      <c r="L46" s="12"/>
      <c r="M46" s="13">
        <f t="shared" si="6"/>
        <v>1610.6</v>
      </c>
      <c r="N46" s="14">
        <f t="shared" si="0"/>
        <v>4965</v>
      </c>
      <c r="O46" s="5" t="s">
        <v>47</v>
      </c>
      <c r="P46" s="33">
        <f t="shared" si="1"/>
        <v>161.06</v>
      </c>
      <c r="Q46" s="33">
        <f t="shared" si="2"/>
        <v>173.94480000000001</v>
      </c>
    </row>
    <row r="47" spans="1:17" s="55" customFormat="1" x14ac:dyDescent="0.25">
      <c r="A47" s="5">
        <v>284</v>
      </c>
      <c r="B47" s="6" t="s">
        <v>67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3354.2</v>
      </c>
      <c r="I47" s="10">
        <v>0</v>
      </c>
      <c r="J47" s="10">
        <v>0</v>
      </c>
      <c r="K47" s="11"/>
      <c r="L47" s="19"/>
      <c r="M47" s="13">
        <f t="shared" si="6"/>
        <v>645.80000000000018</v>
      </c>
      <c r="N47" s="14">
        <f t="shared" si="0"/>
        <v>4000</v>
      </c>
      <c r="O47" s="5" t="s">
        <v>47</v>
      </c>
      <c r="P47" s="33">
        <f t="shared" si="1"/>
        <v>64.580000000000027</v>
      </c>
      <c r="Q47" s="33">
        <f t="shared" si="2"/>
        <v>69.746400000000037</v>
      </c>
    </row>
    <row r="48" spans="1:17" x14ac:dyDescent="0.25">
      <c r="A48" s="5">
        <v>285</v>
      </c>
      <c r="B48" s="6" t="s">
        <v>68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>
        <v>0</v>
      </c>
      <c r="J48" s="10">
        <v>0</v>
      </c>
      <c r="K48" s="11"/>
      <c r="L48" s="12"/>
      <c r="M48" s="13">
        <f t="shared" si="6"/>
        <v>645.59999999999991</v>
      </c>
      <c r="N48" s="14">
        <f t="shared" si="0"/>
        <v>4000</v>
      </c>
      <c r="O48" s="5" t="s">
        <v>47</v>
      </c>
      <c r="P48" s="33">
        <f t="shared" si="1"/>
        <v>64.559999999999988</v>
      </c>
      <c r="Q48" s="33">
        <f t="shared" si="2"/>
        <v>69.724799999999988</v>
      </c>
    </row>
    <row r="49" spans="1:18" x14ac:dyDescent="0.25">
      <c r="A49" s="5">
        <v>286</v>
      </c>
      <c r="B49" s="6" t="s">
        <v>69</v>
      </c>
      <c r="C49" s="7">
        <v>4000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3354.4</v>
      </c>
      <c r="I49" s="10">
        <v>300</v>
      </c>
      <c r="J49" s="10">
        <v>0</v>
      </c>
      <c r="K49" s="11"/>
      <c r="L49" s="19"/>
      <c r="M49" s="13">
        <f t="shared" si="6"/>
        <v>345.59999999999991</v>
      </c>
      <c r="N49" s="14">
        <f t="shared" si="0"/>
        <v>3700</v>
      </c>
      <c r="O49" s="5" t="s">
        <v>47</v>
      </c>
      <c r="P49" s="33">
        <f t="shared" si="1"/>
        <v>34.559999999999995</v>
      </c>
      <c r="Q49" s="33">
        <f t="shared" si="2"/>
        <v>37.324799999999996</v>
      </c>
    </row>
    <row r="50" spans="1:18" x14ac:dyDescent="0.25">
      <c r="A50" s="5">
        <v>287</v>
      </c>
      <c r="B50" s="6" t="s">
        <v>72</v>
      </c>
      <c r="C50" s="7">
        <v>5000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3354.2</v>
      </c>
      <c r="I50" s="10">
        <v>300</v>
      </c>
      <c r="J50" s="10">
        <v>105</v>
      </c>
      <c r="K50" s="11"/>
      <c r="L50" s="19"/>
      <c r="M50" s="13">
        <f t="shared" si="6"/>
        <v>1240.8000000000002</v>
      </c>
      <c r="N50" s="14">
        <f t="shared" si="0"/>
        <v>4595</v>
      </c>
      <c r="O50" s="5" t="s">
        <v>47</v>
      </c>
      <c r="P50" s="33">
        <f t="shared" si="1"/>
        <v>124.08000000000003</v>
      </c>
      <c r="Q50" s="33">
        <f t="shared" si="2"/>
        <v>134.00640000000004</v>
      </c>
    </row>
    <row r="51" spans="1:18" x14ac:dyDescent="0.25">
      <c r="A51" s="5">
        <v>288</v>
      </c>
      <c r="B51" s="6" t="s">
        <v>73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3354.2</v>
      </c>
      <c r="I51" s="10">
        <v>0</v>
      </c>
      <c r="J51" s="10">
        <v>0</v>
      </c>
      <c r="K51" s="11"/>
      <c r="L51" s="19">
        <v>1500</v>
      </c>
      <c r="M51" s="13">
        <f t="shared" si="6"/>
        <v>1645.8000000000002</v>
      </c>
      <c r="N51" s="14">
        <f t="shared" si="0"/>
        <v>5000</v>
      </c>
      <c r="O51" s="5" t="s">
        <v>47</v>
      </c>
      <c r="P51" s="33">
        <f t="shared" si="1"/>
        <v>164.58000000000004</v>
      </c>
      <c r="Q51" s="33">
        <f t="shared" si="2"/>
        <v>177.74640000000005</v>
      </c>
    </row>
    <row r="52" spans="1:18" x14ac:dyDescent="0.25">
      <c r="A52" s="5">
        <v>289</v>
      </c>
      <c r="B52" s="6" t="s">
        <v>74</v>
      </c>
      <c r="C52" s="7">
        <v>3500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3354.2</v>
      </c>
      <c r="I52" s="10">
        <v>0</v>
      </c>
      <c r="J52" s="10">
        <v>0</v>
      </c>
      <c r="K52" s="11"/>
      <c r="L52" s="19"/>
      <c r="M52" s="13">
        <f t="shared" si="6"/>
        <v>145.80000000000018</v>
      </c>
      <c r="N52" s="14">
        <f t="shared" si="0"/>
        <v>3500</v>
      </c>
      <c r="O52" s="5" t="s">
        <v>47</v>
      </c>
      <c r="P52" s="33">
        <f t="shared" si="1"/>
        <v>14.58000000000002</v>
      </c>
      <c r="Q52" s="33">
        <f t="shared" si="2"/>
        <v>15.746400000000023</v>
      </c>
    </row>
    <row r="53" spans="1:18" x14ac:dyDescent="0.25">
      <c r="A53" s="5">
        <v>291</v>
      </c>
      <c r="B53" s="6" t="s">
        <v>78</v>
      </c>
      <c r="C53" s="7">
        <v>4250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3354.4</v>
      </c>
      <c r="I53" s="10">
        <v>0</v>
      </c>
      <c r="J53" s="10">
        <v>35</v>
      </c>
      <c r="K53" s="11"/>
      <c r="L53" s="19"/>
      <c r="M53" s="13">
        <f t="shared" si="6"/>
        <v>860.59999999999991</v>
      </c>
      <c r="N53" s="14">
        <f t="shared" si="0"/>
        <v>4215</v>
      </c>
      <c r="O53" s="5" t="s">
        <v>47</v>
      </c>
      <c r="P53" s="33">
        <f t="shared" si="1"/>
        <v>86.06</v>
      </c>
      <c r="Q53" s="33">
        <f t="shared" si="2"/>
        <v>92.944800000000015</v>
      </c>
    </row>
    <row r="54" spans="1:18" x14ac:dyDescent="0.25">
      <c r="A54" s="5">
        <v>293</v>
      </c>
      <c r="B54" s="6" t="s">
        <v>89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3354.2</v>
      </c>
      <c r="I54" s="10">
        <v>300</v>
      </c>
      <c r="J54" s="10">
        <v>0</v>
      </c>
      <c r="K54" s="11"/>
      <c r="L54" s="12"/>
      <c r="M54" s="13">
        <f t="shared" si="6"/>
        <v>345.80000000000018</v>
      </c>
      <c r="N54" s="14">
        <f t="shared" si="0"/>
        <v>3700</v>
      </c>
      <c r="O54" s="5" t="s">
        <v>47</v>
      </c>
      <c r="P54" s="33">
        <f t="shared" si="1"/>
        <v>34.58000000000002</v>
      </c>
      <c r="Q54" s="33">
        <f t="shared" si="2"/>
        <v>37.346400000000024</v>
      </c>
    </row>
    <row r="55" spans="1:18" x14ac:dyDescent="0.25">
      <c r="A55" s="5">
        <v>294</v>
      </c>
      <c r="B55" s="6" t="s">
        <v>91</v>
      </c>
      <c r="C55" s="7">
        <v>4000</v>
      </c>
      <c r="D55" s="7">
        <v>419.88</v>
      </c>
      <c r="E55" s="8">
        <f>D55*6</f>
        <v>2519.2799999999997</v>
      </c>
      <c r="F55" s="8">
        <f t="shared" si="4"/>
        <v>419.88</v>
      </c>
      <c r="G55" s="9">
        <f>E55+F55</f>
        <v>2939.16</v>
      </c>
      <c r="H55" s="37">
        <v>3354.4</v>
      </c>
      <c r="I55" s="10">
        <v>300</v>
      </c>
      <c r="J55" s="10">
        <v>105</v>
      </c>
      <c r="K55" s="11"/>
      <c r="L55" s="12"/>
      <c r="M55" s="22">
        <f>C55-H55-I55+L55-K55-J55+0.02</f>
        <v>240.61999999999992</v>
      </c>
      <c r="N55" s="14">
        <f>H55+M55</f>
        <v>3595.02</v>
      </c>
      <c r="O55" s="5" t="s">
        <v>47</v>
      </c>
      <c r="P55" s="33">
        <f>+M55*0.1</f>
        <v>24.061999999999994</v>
      </c>
      <c r="Q55" s="33">
        <f>+P55*1.08</f>
        <v>25.986959999999996</v>
      </c>
    </row>
    <row r="56" spans="1:18" x14ac:dyDescent="0.25">
      <c r="A56" s="5">
        <v>295</v>
      </c>
      <c r="B56" s="6" t="s">
        <v>104</v>
      </c>
      <c r="C56" s="7">
        <v>5500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3354.4</v>
      </c>
      <c r="I56" s="10">
        <v>225</v>
      </c>
      <c r="J56" s="10">
        <v>0</v>
      </c>
      <c r="K56" s="11"/>
      <c r="L56" s="12"/>
      <c r="M56" s="22">
        <f>C56-H56-I56+L56-K56-J56+0.02</f>
        <v>1920.62</v>
      </c>
      <c r="N56" s="14">
        <f t="shared" si="0"/>
        <v>5275.02</v>
      </c>
      <c r="O56" s="5" t="s">
        <v>47</v>
      </c>
      <c r="P56" s="33">
        <f t="shared" si="1"/>
        <v>192.06200000000001</v>
      </c>
      <c r="Q56" s="33">
        <f t="shared" si="2"/>
        <v>207.42696000000004</v>
      </c>
    </row>
    <row r="57" spans="1:18" ht="16.149999999999999" customHeight="1" thickBot="1" x14ac:dyDescent="0.3"/>
    <row r="58" spans="1:18" ht="18" thickBot="1" x14ac:dyDescent="0.35">
      <c r="A58" s="23"/>
      <c r="B58" s="24"/>
      <c r="C58" s="25">
        <f t="shared" ref="C58:N58" si="7">SUM(C4:C57)</f>
        <v>262125</v>
      </c>
      <c r="D58" s="25">
        <f t="shared" si="7"/>
        <v>22253.64</v>
      </c>
      <c r="E58" s="25">
        <f t="shared" si="7"/>
        <v>131002.55999999995</v>
      </c>
      <c r="F58" s="25">
        <f t="shared" si="7"/>
        <v>21833.759999999998</v>
      </c>
      <c r="G58" s="25">
        <f t="shared" si="7"/>
        <v>152836.32000000012</v>
      </c>
      <c r="H58" s="25">
        <f t="shared" si="7"/>
        <v>171658.8</v>
      </c>
      <c r="I58" s="26">
        <f t="shared" si="7"/>
        <v>8175</v>
      </c>
      <c r="J58" s="26">
        <f t="shared" si="7"/>
        <v>2520</v>
      </c>
      <c r="K58" s="26">
        <f t="shared" si="7"/>
        <v>2808.92</v>
      </c>
      <c r="L58" s="27">
        <f t="shared" si="7"/>
        <v>3946.42</v>
      </c>
      <c r="M58" s="25">
        <f t="shared" si="7"/>
        <v>80908.740000000034</v>
      </c>
      <c r="N58" s="25">
        <f t="shared" si="7"/>
        <v>252567.53999999995</v>
      </c>
      <c r="P58" s="25">
        <f>SUM(P4:P57)</f>
        <v>8090.8740000000034</v>
      </c>
      <c r="Q58" s="25">
        <f>SUM(Q4:Q57)</f>
        <v>8738.1439200000023</v>
      </c>
      <c r="R58" s="55">
        <f>+N58+Q58</f>
        <v>261305.68391999995</v>
      </c>
    </row>
    <row r="59" spans="1:18" x14ac:dyDescent="0.25">
      <c r="H59" s="15"/>
      <c r="M59" s="15"/>
    </row>
    <row r="60" spans="1:18" x14ac:dyDescent="0.25">
      <c r="H60" s="15"/>
      <c r="I60">
        <f>+I58/75</f>
        <v>109</v>
      </c>
      <c r="J60" s="28">
        <f>SUM(J58)/35</f>
        <v>72</v>
      </c>
      <c r="R60" s="55">
        <v>12886.8</v>
      </c>
    </row>
    <row r="61" spans="1:18" x14ac:dyDescent="0.25">
      <c r="F61" s="15"/>
      <c r="H61" s="15">
        <f>H58+M58</f>
        <v>252567.54000000004</v>
      </c>
      <c r="K61" s="15"/>
    </row>
    <row r="62" spans="1:18" x14ac:dyDescent="0.25">
      <c r="H62" s="15">
        <f>'[1]Nom 9'!$H$53</f>
        <v>131178.05999999994</v>
      </c>
      <c r="I62" s="40"/>
      <c r="J62" s="15"/>
    </row>
    <row r="63" spans="1:18" x14ac:dyDescent="0.25">
      <c r="H63" s="15">
        <f>[2]Rino!$H$8</f>
        <v>75398.810000000012</v>
      </c>
    </row>
    <row r="64" spans="1:18" x14ac:dyDescent="0.25">
      <c r="H64" s="15">
        <f>H62+H63</f>
        <v>206576.86999999994</v>
      </c>
    </row>
    <row r="69" spans="10:10" x14ac:dyDescent="0.25">
      <c r="J69" s="15" t="e">
        <f>(H58-#REF!-#REF!)+3354.4+2879</f>
        <v>#REF!</v>
      </c>
    </row>
  </sheetData>
  <autoFilter ref="A3:Q56" xr:uid="{00000000-0009-0000-0000-000011000000}"/>
  <mergeCells count="2">
    <mergeCell ref="A1:N1"/>
    <mergeCell ref="A2:N2"/>
  </mergeCells>
  <pageMargins left="0.25" right="0.25" top="0.75" bottom="0.75" header="0.3" footer="0.3"/>
  <pageSetup scale="48" orientation="landscape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9">
    <pageSetUpPr fitToPage="1"/>
  </sheetPr>
  <dimension ref="A1:R70"/>
  <sheetViews>
    <sheetView showGridLines="0" topLeftCell="A3" zoomScaleNormal="100" workbookViewId="0">
      <selection activeCell="L34" sqref="L34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106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7" si="0">H4+M4</f>
        <v>0</v>
      </c>
      <c r="O4" s="81" t="s">
        <v>48</v>
      </c>
      <c r="P4" s="82">
        <f t="shared" ref="P4:P57" si="1">+M4*0.1</f>
        <v>0</v>
      </c>
      <c r="Q4" s="82">
        <f t="shared" ref="Q4:Q57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7" si="3">D5*6</f>
        <v>2519.2799999999997</v>
      </c>
      <c r="F5" s="8">
        <f t="shared" ref="F5:F57" si="4">$D$4</f>
        <v>419.88</v>
      </c>
      <c r="G5" s="9">
        <f t="shared" ref="G5:G57" si="5">E5+F5</f>
        <v>2939.16</v>
      </c>
      <c r="H5" s="37">
        <v>3354.4</v>
      </c>
      <c r="I5" s="10">
        <v>375</v>
      </c>
      <c r="J5" s="10">
        <v>0</v>
      </c>
      <c r="K5" s="11"/>
      <c r="L5" s="12"/>
      <c r="M5" s="13">
        <f>C5-H5-I5+L5-K5-J5</f>
        <v>270.59999999999991</v>
      </c>
      <c r="N5" s="14">
        <f t="shared" si="0"/>
        <v>3625</v>
      </c>
      <c r="O5" s="29" t="s">
        <v>47</v>
      </c>
      <c r="P5" s="33">
        <f t="shared" si="1"/>
        <v>27.059999999999992</v>
      </c>
      <c r="Q5" s="33">
        <f t="shared" si="2"/>
        <v>29.224799999999991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3432.2</v>
      </c>
      <c r="I6" s="18">
        <v>150</v>
      </c>
      <c r="J6" s="18">
        <v>105</v>
      </c>
      <c r="K6" s="12"/>
      <c r="L6" s="12">
        <v>1071.43</v>
      </c>
      <c r="M6" s="13">
        <f t="shared" ref="M6:M54" si="6">C6-H6-I6+L6-K6-J6</f>
        <v>12384.23</v>
      </c>
      <c r="N6" s="14">
        <f t="shared" si="0"/>
        <v>15816.43</v>
      </c>
      <c r="O6" s="30" t="s">
        <v>47</v>
      </c>
      <c r="P6" s="33">
        <f t="shared" si="1"/>
        <v>1238.423</v>
      </c>
      <c r="Q6" s="33">
        <f t="shared" si="2"/>
        <v>1337.49684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3354.4</v>
      </c>
      <c r="I7" s="10">
        <v>225</v>
      </c>
      <c r="J7" s="10">
        <v>35</v>
      </c>
      <c r="K7" s="21"/>
      <c r="L7" s="12"/>
      <c r="M7" s="13">
        <f t="shared" si="6"/>
        <v>385.59999999999991</v>
      </c>
      <c r="N7" s="14">
        <f t="shared" si="0"/>
        <v>3740</v>
      </c>
      <c r="O7" s="36" t="s">
        <v>47</v>
      </c>
      <c r="P7" s="33">
        <f t="shared" si="1"/>
        <v>38.559999999999995</v>
      </c>
      <c r="Q7" s="33">
        <f t="shared" si="2"/>
        <v>41.644799999999996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3238.6</v>
      </c>
      <c r="I8" s="10">
        <v>225</v>
      </c>
      <c r="J8" s="10">
        <v>70</v>
      </c>
      <c r="K8" s="11">
        <v>282.86</v>
      </c>
      <c r="L8" s="12"/>
      <c r="M8" s="13">
        <f t="shared" si="6"/>
        <v>683.54000000000008</v>
      </c>
      <c r="N8" s="14">
        <f t="shared" si="0"/>
        <v>3922.14</v>
      </c>
      <c r="O8" s="30" t="s">
        <v>47</v>
      </c>
      <c r="P8" s="33">
        <f t="shared" si="1"/>
        <v>68.354000000000013</v>
      </c>
      <c r="Q8" s="33">
        <f t="shared" si="2"/>
        <v>73.822320000000019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3417.2</v>
      </c>
      <c r="I9" s="10">
        <v>75</v>
      </c>
      <c r="J9" s="10">
        <v>70</v>
      </c>
      <c r="K9" s="16">
        <v>15.04</v>
      </c>
      <c r="L9" s="12">
        <v>285.70999999999998</v>
      </c>
      <c r="M9" s="22">
        <f>C9-H9-I9+L9-K9-J9</f>
        <v>708.47000000000025</v>
      </c>
      <c r="N9" s="14">
        <f t="shared" si="0"/>
        <v>4125.67</v>
      </c>
      <c r="O9" s="30" t="s">
        <v>47</v>
      </c>
      <c r="P9" s="33">
        <f t="shared" si="1"/>
        <v>70.847000000000023</v>
      </c>
      <c r="Q9" s="33">
        <f t="shared" si="2"/>
        <v>76.514760000000024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3354.4</v>
      </c>
      <c r="I10" s="10">
        <v>0</v>
      </c>
      <c r="J10" s="10">
        <v>0</v>
      </c>
      <c r="K10" s="20"/>
      <c r="L10" s="19"/>
      <c r="M10" s="13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3354.2</v>
      </c>
      <c r="I11" s="10">
        <v>75</v>
      </c>
      <c r="J11" s="10">
        <v>70</v>
      </c>
      <c r="K11" s="11"/>
      <c r="L11" s="12"/>
      <c r="M11" s="13">
        <f>C11-H11-I11+L11-K11-J11</f>
        <v>3500.8</v>
      </c>
      <c r="N11" s="14">
        <f t="shared" si="0"/>
        <v>6855</v>
      </c>
      <c r="O11" s="30" t="s">
        <v>47</v>
      </c>
      <c r="P11" s="33">
        <f t="shared" si="1"/>
        <v>350.08000000000004</v>
      </c>
      <c r="Q11" s="33">
        <f t="shared" si="2"/>
        <v>378.08640000000008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3354.2</v>
      </c>
      <c r="I12" s="10">
        <v>75</v>
      </c>
      <c r="J12" s="10">
        <v>0</v>
      </c>
      <c r="K12" s="11"/>
      <c r="L12" s="12"/>
      <c r="M12" s="13">
        <f>C12-H12-I12+L12-K12-J12</f>
        <v>1570.8000000000002</v>
      </c>
      <c r="N12" s="14">
        <f t="shared" si="0"/>
        <v>4925</v>
      </c>
      <c r="O12" s="30" t="s">
        <v>47</v>
      </c>
      <c r="P12" s="33">
        <f t="shared" si="1"/>
        <v>157.08000000000004</v>
      </c>
      <c r="Q12" s="33">
        <f t="shared" si="2"/>
        <v>169.64640000000006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3165</v>
      </c>
      <c r="I13" s="10">
        <v>300</v>
      </c>
      <c r="J13" s="10">
        <v>35</v>
      </c>
      <c r="K13" s="21"/>
      <c r="L13" s="12"/>
      <c r="M13" s="13">
        <f>C13-H13-I13+L13-K13-J13</f>
        <v>0</v>
      </c>
      <c r="N13" s="14">
        <f t="shared" si="0"/>
        <v>3165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3120.2</v>
      </c>
      <c r="I14" s="10">
        <v>225</v>
      </c>
      <c r="J14" s="10">
        <v>245</v>
      </c>
      <c r="K14" s="21">
        <v>293.92</v>
      </c>
      <c r="L14" s="12"/>
      <c r="M14" s="22">
        <f>C14-H14-I14+L14-K14-J14</f>
        <v>115.88000000000017</v>
      </c>
      <c r="N14" s="14">
        <f t="shared" si="0"/>
        <v>3236.08</v>
      </c>
      <c r="O14" s="36" t="s">
        <v>47</v>
      </c>
      <c r="P14" s="33">
        <f t="shared" si="1"/>
        <v>11.588000000000017</v>
      </c>
      <c r="Q14" s="33">
        <f t="shared" si="2"/>
        <v>12.515040000000019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3354.2</v>
      </c>
      <c r="I15" s="10">
        <v>0</v>
      </c>
      <c r="J15" s="10">
        <v>0</v>
      </c>
      <c r="K15" s="11"/>
      <c r="L15" s="12"/>
      <c r="M15" s="13">
        <f t="shared" si="6"/>
        <v>645.80000000000018</v>
      </c>
      <c r="N15" s="14">
        <f t="shared" si="0"/>
        <v>4000</v>
      </c>
      <c r="O15" s="30" t="s">
        <v>47</v>
      </c>
      <c r="P15" s="33">
        <f t="shared" si="1"/>
        <v>64.580000000000027</v>
      </c>
      <c r="Q15" s="33">
        <f t="shared" si="2"/>
        <v>69.746400000000037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3354.2</v>
      </c>
      <c r="I16" s="10">
        <v>375</v>
      </c>
      <c r="J16" s="10">
        <v>0</v>
      </c>
      <c r="K16" s="21"/>
      <c r="L16" s="12"/>
      <c r="M16" s="13">
        <f>C16-H16-I16+L16-K16-J16</f>
        <v>270.80000000000018</v>
      </c>
      <c r="N16" s="14">
        <f t="shared" si="0"/>
        <v>3625</v>
      </c>
      <c r="O16" s="29" t="s">
        <v>47</v>
      </c>
      <c r="P16" s="33">
        <f t="shared" si="1"/>
        <v>27.08000000000002</v>
      </c>
      <c r="Q16" s="33">
        <f t="shared" si="2"/>
        <v>29.246400000000023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3120.4</v>
      </c>
      <c r="I17" s="10">
        <v>0</v>
      </c>
      <c r="J17" s="10">
        <v>0</v>
      </c>
      <c r="K17" s="21">
        <v>293.92</v>
      </c>
      <c r="L17" s="19"/>
      <c r="M17" s="13">
        <f t="shared" si="6"/>
        <v>585.67999999999984</v>
      </c>
      <c r="N17" s="14">
        <f t="shared" si="0"/>
        <v>3706.08</v>
      </c>
      <c r="O17" s="29" t="s">
        <v>47</v>
      </c>
      <c r="P17" s="33">
        <f t="shared" si="1"/>
        <v>58.567999999999984</v>
      </c>
      <c r="Q17" s="33">
        <f t="shared" si="2"/>
        <v>63.253439999999983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2879.2</v>
      </c>
      <c r="I18" s="10">
        <v>225</v>
      </c>
      <c r="J18" s="10">
        <v>35</v>
      </c>
      <c r="K18" s="21">
        <v>587.84</v>
      </c>
      <c r="L18" s="12"/>
      <c r="M18" s="13">
        <f t="shared" si="6"/>
        <v>272.96000000000015</v>
      </c>
      <c r="N18" s="14">
        <f t="shared" si="0"/>
        <v>3152.16</v>
      </c>
      <c r="O18" s="29" t="s">
        <v>47</v>
      </c>
      <c r="P18" s="33">
        <f t="shared" si="1"/>
        <v>27.296000000000017</v>
      </c>
      <c r="Q18" s="33">
        <f t="shared" si="2"/>
        <v>29.47968000000002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2361</v>
      </c>
      <c r="I19" s="10">
        <v>0</v>
      </c>
      <c r="J19" s="10">
        <v>0</v>
      </c>
      <c r="K19" s="16">
        <v>908.03</v>
      </c>
      <c r="L19" s="12"/>
      <c r="M19" s="13">
        <f t="shared" si="6"/>
        <v>6730.97</v>
      </c>
      <c r="N19" s="14">
        <f t="shared" si="0"/>
        <v>9091.9700000000012</v>
      </c>
      <c r="O19" s="29" t="s">
        <v>50</v>
      </c>
      <c r="P19" s="33">
        <f t="shared" si="1"/>
        <v>673.09700000000009</v>
      </c>
      <c r="Q19" s="33">
        <f t="shared" si="2"/>
        <v>726.9447600000002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3354.2</v>
      </c>
      <c r="I20" s="10">
        <v>375</v>
      </c>
      <c r="J20" s="10">
        <v>105</v>
      </c>
      <c r="K20" s="11"/>
      <c r="L20" s="19"/>
      <c r="M20" s="13">
        <f t="shared" si="6"/>
        <v>4165.8</v>
      </c>
      <c r="N20" s="14">
        <f t="shared" si="0"/>
        <v>7520</v>
      </c>
      <c r="O20" s="29" t="s">
        <v>47</v>
      </c>
      <c r="P20" s="33">
        <f t="shared" si="1"/>
        <v>416.58000000000004</v>
      </c>
      <c r="Q20" s="33">
        <f t="shared" si="2"/>
        <v>449.90640000000008</v>
      </c>
    </row>
    <row r="21" spans="1:17" s="55" customFormat="1" ht="13.5" customHeight="1" x14ac:dyDescent="0.25">
      <c r="A21" s="5">
        <v>204</v>
      </c>
      <c r="B21" s="6" t="s">
        <v>33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>
        <v>150</v>
      </c>
      <c r="J21" s="10">
        <v>35</v>
      </c>
      <c r="K21" s="11"/>
      <c r="L21" s="19"/>
      <c r="M21" s="13">
        <f t="shared" si="6"/>
        <v>460.59999999999991</v>
      </c>
      <c r="N21" s="14">
        <f t="shared" si="0"/>
        <v>3815</v>
      </c>
      <c r="O21" s="29" t="s">
        <v>47</v>
      </c>
      <c r="P21" s="33">
        <f t="shared" si="1"/>
        <v>46.059999999999995</v>
      </c>
      <c r="Q21" s="33">
        <f t="shared" si="2"/>
        <v>49.744799999999998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3354.2</v>
      </c>
      <c r="I22" s="10">
        <v>0</v>
      </c>
      <c r="J22" s="10">
        <v>0</v>
      </c>
      <c r="K22" s="11"/>
      <c r="L22" s="19"/>
      <c r="M22" s="13">
        <f t="shared" si="6"/>
        <v>645.80000000000018</v>
      </c>
      <c r="N22" s="14">
        <f t="shared" si="0"/>
        <v>4000</v>
      </c>
      <c r="O22" s="29" t="s">
        <v>50</v>
      </c>
      <c r="P22" s="33">
        <f t="shared" si="1"/>
        <v>64.580000000000027</v>
      </c>
      <c r="Q22" s="33">
        <f t="shared" si="2"/>
        <v>69.746400000000037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3354.4</v>
      </c>
      <c r="I23" s="10">
        <v>225</v>
      </c>
      <c r="J23" s="10">
        <v>105</v>
      </c>
      <c r="K23" s="21"/>
      <c r="L23" s="19"/>
      <c r="M23" s="13">
        <f t="shared" si="6"/>
        <v>1315.6</v>
      </c>
      <c r="N23" s="14">
        <f t="shared" si="0"/>
        <v>4670</v>
      </c>
      <c r="O23" s="29" t="s">
        <v>47</v>
      </c>
      <c r="P23" s="33">
        <f t="shared" si="1"/>
        <v>131.56</v>
      </c>
      <c r="Q23" s="33">
        <f t="shared" si="2"/>
        <v>142.0848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3469.6</v>
      </c>
      <c r="I24" s="10">
        <v>0</v>
      </c>
      <c r="J24" s="10">
        <v>0</v>
      </c>
      <c r="K24" s="12"/>
      <c r="L24" s="12">
        <v>375</v>
      </c>
      <c r="M24" s="13">
        <f t="shared" si="6"/>
        <v>405.40000000000009</v>
      </c>
      <c r="N24" s="14">
        <f t="shared" si="0"/>
        <v>3875</v>
      </c>
      <c r="O24" s="29" t="s">
        <v>49</v>
      </c>
      <c r="P24" s="33">
        <f t="shared" si="1"/>
        <v>40.540000000000013</v>
      </c>
      <c r="Q24" s="33">
        <f t="shared" si="2"/>
        <v>43.783200000000015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3120.4</v>
      </c>
      <c r="I25" s="10">
        <v>375</v>
      </c>
      <c r="J25" s="10">
        <v>210</v>
      </c>
      <c r="K25" s="21">
        <v>293.92</v>
      </c>
      <c r="L25" s="12"/>
      <c r="M25" s="13">
        <f t="shared" si="6"/>
        <v>0.67999999999989313</v>
      </c>
      <c r="N25" s="14">
        <f t="shared" si="0"/>
        <v>3121.08</v>
      </c>
      <c r="O25" s="36" t="s">
        <v>47</v>
      </c>
      <c r="P25" s="33">
        <f t="shared" si="1"/>
        <v>6.7999999999989319E-2</v>
      </c>
      <c r="Q25" s="33">
        <f t="shared" si="2"/>
        <v>7.3439999999988473E-2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3354.2</v>
      </c>
      <c r="I26" s="10">
        <v>375</v>
      </c>
      <c r="J26" s="10">
        <v>175</v>
      </c>
      <c r="K26" s="21"/>
      <c r="L26" s="12"/>
      <c r="M26" s="13">
        <f t="shared" si="6"/>
        <v>1095.8000000000002</v>
      </c>
      <c r="N26" s="14">
        <f t="shared" si="0"/>
        <v>4450</v>
      </c>
      <c r="O26" s="29" t="s">
        <v>47</v>
      </c>
      <c r="P26" s="33">
        <f t="shared" si="1"/>
        <v>109.58000000000003</v>
      </c>
      <c r="Q26" s="33">
        <f t="shared" si="2"/>
        <v>118.34640000000003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3354.4</v>
      </c>
      <c r="I27" s="10">
        <v>375</v>
      </c>
      <c r="J27" s="10">
        <v>175</v>
      </c>
      <c r="K27" s="21"/>
      <c r="L27" s="19"/>
      <c r="M27" s="13">
        <f t="shared" si="6"/>
        <v>4095.6000000000004</v>
      </c>
      <c r="N27" s="14">
        <f t="shared" si="0"/>
        <v>7450</v>
      </c>
      <c r="O27" s="29" t="s">
        <v>47</v>
      </c>
      <c r="P27" s="33">
        <f t="shared" si="1"/>
        <v>409.56000000000006</v>
      </c>
      <c r="Q27" s="33">
        <f t="shared" si="2"/>
        <v>442.3248000000001</v>
      </c>
    </row>
    <row r="28" spans="1:17" s="55" customFormat="1" x14ac:dyDescent="0.25">
      <c r="A28" s="42">
        <v>226</v>
      </c>
      <c r="B28" s="43" t="s">
        <v>40</v>
      </c>
      <c r="C28" s="44">
        <v>7500</v>
      </c>
      <c r="D28" s="44">
        <v>419.88</v>
      </c>
      <c r="E28" s="45">
        <f t="shared" si="3"/>
        <v>2519.2799999999997</v>
      </c>
      <c r="F28" s="45">
        <f t="shared" si="4"/>
        <v>419.88</v>
      </c>
      <c r="G28" s="46">
        <f t="shared" si="5"/>
        <v>2939.16</v>
      </c>
      <c r="H28" s="47">
        <v>15848.2</v>
      </c>
      <c r="I28" s="48">
        <v>0</v>
      </c>
      <c r="J28" s="48">
        <v>0</v>
      </c>
      <c r="K28" s="49"/>
      <c r="L28" s="50"/>
      <c r="M28" s="51"/>
      <c r="N28" s="52">
        <f t="shared" si="0"/>
        <v>15848.2</v>
      </c>
      <c r="O28" s="53" t="s">
        <v>47</v>
      </c>
      <c r="P28" s="54">
        <f t="shared" si="1"/>
        <v>0</v>
      </c>
      <c r="Q28" s="54">
        <f t="shared" si="2"/>
        <v>0</v>
      </c>
    </row>
    <row r="29" spans="1:17" s="55" customFormat="1" x14ac:dyDescent="0.25">
      <c r="A29" s="5">
        <v>227</v>
      </c>
      <c r="B29" s="6" t="s">
        <v>41</v>
      </c>
      <c r="C29" s="7">
        <v>6000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375</v>
      </c>
      <c r="J29" s="10">
        <v>35</v>
      </c>
      <c r="K29" s="21"/>
      <c r="L29" s="12"/>
      <c r="M29" s="13">
        <f t="shared" si="6"/>
        <v>2235.6</v>
      </c>
      <c r="N29" s="14">
        <f t="shared" si="0"/>
        <v>5590</v>
      </c>
      <c r="O29" s="29" t="s">
        <v>47</v>
      </c>
      <c r="P29" s="33">
        <f t="shared" si="1"/>
        <v>223.56</v>
      </c>
      <c r="Q29" s="33">
        <f t="shared" si="2"/>
        <v>241.44480000000001</v>
      </c>
    </row>
    <row r="30" spans="1:17" s="55" customFormat="1" x14ac:dyDescent="0.25">
      <c r="A30" s="5">
        <v>233</v>
      </c>
      <c r="B30" s="6" t="s">
        <v>42</v>
      </c>
      <c r="C30" s="7">
        <v>6250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3354.2</v>
      </c>
      <c r="I30" s="10">
        <v>375</v>
      </c>
      <c r="J30" s="10">
        <v>70</v>
      </c>
      <c r="K30" s="21"/>
      <c r="L30" s="12"/>
      <c r="M30" s="13">
        <f t="shared" si="6"/>
        <v>2450.8000000000002</v>
      </c>
      <c r="N30" s="14">
        <f t="shared" si="0"/>
        <v>5805</v>
      </c>
      <c r="O30" s="31" t="s">
        <v>47</v>
      </c>
      <c r="P30" s="33">
        <f t="shared" si="1"/>
        <v>245.08000000000004</v>
      </c>
      <c r="Q30" s="33">
        <f t="shared" si="2"/>
        <v>264.68640000000005</v>
      </c>
    </row>
    <row r="31" spans="1:17" s="55" customFormat="1" x14ac:dyDescent="0.25">
      <c r="A31" s="5">
        <v>237</v>
      </c>
      <c r="B31" s="6" t="s">
        <v>43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3354.2</v>
      </c>
      <c r="I31" s="10">
        <v>225</v>
      </c>
      <c r="J31" s="10">
        <v>105</v>
      </c>
      <c r="K31" s="11"/>
      <c r="L31" s="19"/>
      <c r="M31" s="13">
        <f>C31-H31-I31+L31-K31-J31</f>
        <v>1315.8000000000002</v>
      </c>
      <c r="N31" s="14">
        <f>H31+M31</f>
        <v>4670</v>
      </c>
      <c r="O31" s="29" t="s">
        <v>47</v>
      </c>
      <c r="P31" s="33">
        <f>+M31*0.1</f>
        <v>131.58000000000001</v>
      </c>
      <c r="Q31" s="33">
        <f t="shared" si="2"/>
        <v>142.10640000000004</v>
      </c>
    </row>
    <row r="32" spans="1:17" s="55" customFormat="1" x14ac:dyDescent="0.25">
      <c r="A32" s="5">
        <v>244</v>
      </c>
      <c r="B32" s="6" t="s">
        <v>44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3354.2</v>
      </c>
      <c r="I32" s="10">
        <v>300</v>
      </c>
      <c r="J32" s="10">
        <v>0</v>
      </c>
      <c r="K32" s="21"/>
      <c r="L32" s="12"/>
      <c r="M32" s="13">
        <f>C32-H32-I32+L32-K32-J32</f>
        <v>1345.8000000000002</v>
      </c>
      <c r="N32" s="14">
        <f t="shared" si="0"/>
        <v>4700</v>
      </c>
      <c r="O32" s="29" t="s">
        <v>47</v>
      </c>
      <c r="P32" s="33">
        <f t="shared" si="1"/>
        <v>134.58000000000001</v>
      </c>
      <c r="Q32" s="33">
        <f t="shared" si="2"/>
        <v>145.34640000000002</v>
      </c>
    </row>
    <row r="33" spans="1:17" s="55" customFormat="1" x14ac:dyDescent="0.25">
      <c r="A33" s="5">
        <v>245</v>
      </c>
      <c r="B33" s="6" t="s">
        <v>45</v>
      </c>
      <c r="C33" s="7">
        <v>5000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3354.4</v>
      </c>
      <c r="I33" s="10">
        <v>0</v>
      </c>
      <c r="J33" s="10">
        <v>0</v>
      </c>
      <c r="K33" s="11"/>
      <c r="L33" s="12"/>
      <c r="M33" s="13">
        <f t="shared" si="6"/>
        <v>1645.6</v>
      </c>
      <c r="N33" s="14">
        <f t="shared" si="0"/>
        <v>5000</v>
      </c>
      <c r="O33" s="34">
        <v>2</v>
      </c>
      <c r="P33" s="33">
        <f t="shared" si="1"/>
        <v>164.56</v>
      </c>
      <c r="Q33" s="33">
        <f t="shared" si="2"/>
        <v>177.72480000000002</v>
      </c>
    </row>
    <row r="34" spans="1:17" s="55" customFormat="1" x14ac:dyDescent="0.25">
      <c r="A34" s="5">
        <v>252</v>
      </c>
      <c r="B34" s="6" t="s">
        <v>53</v>
      </c>
      <c r="C34" s="7">
        <v>4000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4407.3999999999996</v>
      </c>
      <c r="I34" s="10">
        <v>225</v>
      </c>
      <c r="J34" s="10">
        <v>105</v>
      </c>
      <c r="K34" s="21"/>
      <c r="L34" s="12">
        <v>1714.27</v>
      </c>
      <c r="M34" s="13">
        <f t="shared" si="6"/>
        <v>976.87000000000035</v>
      </c>
      <c r="N34" s="14">
        <f t="shared" si="0"/>
        <v>5384.27</v>
      </c>
      <c r="O34" s="5" t="s">
        <v>47</v>
      </c>
      <c r="P34" s="33">
        <f t="shared" si="1"/>
        <v>97.68700000000004</v>
      </c>
      <c r="Q34" s="33">
        <f t="shared" si="2"/>
        <v>105.50196000000005</v>
      </c>
    </row>
    <row r="35" spans="1:17" s="55" customFormat="1" x14ac:dyDescent="0.25">
      <c r="A35" s="5">
        <v>260</v>
      </c>
      <c r="B35" s="6" t="s">
        <v>54</v>
      </c>
      <c r="C35" s="7">
        <v>5000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3354.2</v>
      </c>
      <c r="I35" s="10">
        <v>0</v>
      </c>
      <c r="J35" s="10">
        <v>0</v>
      </c>
      <c r="K35" s="11"/>
      <c r="L35" s="19"/>
      <c r="M35" s="13">
        <f t="shared" si="6"/>
        <v>1645.8000000000002</v>
      </c>
      <c r="N35" s="14">
        <f t="shared" si="0"/>
        <v>5000</v>
      </c>
      <c r="O35" s="5" t="s">
        <v>47</v>
      </c>
      <c r="P35" s="33">
        <f t="shared" si="1"/>
        <v>164.58000000000004</v>
      </c>
      <c r="Q35" s="33">
        <f t="shared" si="2"/>
        <v>177.74640000000005</v>
      </c>
    </row>
    <row r="36" spans="1:17" s="55" customFormat="1" x14ac:dyDescent="0.25">
      <c r="A36" s="5">
        <v>261</v>
      </c>
      <c r="B36" s="6" t="s">
        <v>55</v>
      </c>
      <c r="C36" s="7">
        <v>4000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2356</v>
      </c>
      <c r="I36" s="10">
        <v>225</v>
      </c>
      <c r="J36" s="10">
        <v>140</v>
      </c>
      <c r="K36" s="16">
        <v>913.35</v>
      </c>
      <c r="L36" s="19"/>
      <c r="M36" s="13">
        <f t="shared" si="6"/>
        <v>365.65</v>
      </c>
      <c r="N36" s="14">
        <f t="shared" si="0"/>
        <v>2721.65</v>
      </c>
      <c r="O36" s="5" t="s">
        <v>47</v>
      </c>
      <c r="P36" s="33">
        <f t="shared" si="1"/>
        <v>36.564999999999998</v>
      </c>
      <c r="Q36" s="33">
        <f t="shared" si="2"/>
        <v>39.490200000000002</v>
      </c>
    </row>
    <row r="37" spans="1:17" s="55" customFormat="1" x14ac:dyDescent="0.25">
      <c r="A37" s="5">
        <v>267</v>
      </c>
      <c r="B37" s="6" t="s">
        <v>56</v>
      </c>
      <c r="C37" s="7">
        <v>5000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2848.4</v>
      </c>
      <c r="I37" s="10">
        <v>375</v>
      </c>
      <c r="J37" s="10">
        <v>175</v>
      </c>
      <c r="K37" s="16">
        <v>435.88</v>
      </c>
      <c r="L37" s="12"/>
      <c r="M37" s="13">
        <f t="shared" si="6"/>
        <v>1165.7199999999998</v>
      </c>
      <c r="N37" s="14">
        <f t="shared" si="0"/>
        <v>4014.12</v>
      </c>
      <c r="O37" s="5" t="s">
        <v>47</v>
      </c>
      <c r="P37" s="33">
        <f t="shared" si="1"/>
        <v>116.57199999999999</v>
      </c>
      <c r="Q37" s="33">
        <f t="shared" si="2"/>
        <v>125.89775999999999</v>
      </c>
    </row>
    <row r="38" spans="1:17" s="55" customFormat="1" x14ac:dyDescent="0.25">
      <c r="A38" s="5">
        <v>268</v>
      </c>
      <c r="B38" s="6" t="s">
        <v>57</v>
      </c>
      <c r="C38" s="7">
        <v>4000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3354.2</v>
      </c>
      <c r="I38" s="10">
        <v>75</v>
      </c>
      <c r="J38" s="10">
        <v>0</v>
      </c>
      <c r="K38" s="11"/>
      <c r="L38" s="19"/>
      <c r="M38" s="13">
        <f t="shared" si="6"/>
        <v>570.80000000000018</v>
      </c>
      <c r="N38" s="14">
        <f t="shared" si="0"/>
        <v>3925</v>
      </c>
      <c r="O38" s="5" t="s">
        <v>47</v>
      </c>
      <c r="P38" s="33">
        <f t="shared" si="1"/>
        <v>57.08000000000002</v>
      </c>
      <c r="Q38" s="33">
        <f t="shared" si="2"/>
        <v>61.646400000000028</v>
      </c>
    </row>
    <row r="39" spans="1:17" s="55" customFormat="1" x14ac:dyDescent="0.25">
      <c r="A39" s="5">
        <v>269</v>
      </c>
      <c r="B39" s="6" t="s">
        <v>58</v>
      </c>
      <c r="C39" s="7">
        <v>7000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3120.4</v>
      </c>
      <c r="I39" s="10">
        <v>225</v>
      </c>
      <c r="J39" s="10">
        <v>140</v>
      </c>
      <c r="K39" s="21">
        <v>293.92</v>
      </c>
      <c r="L39" s="19"/>
      <c r="M39" s="13">
        <f t="shared" si="6"/>
        <v>3220.68</v>
      </c>
      <c r="N39" s="14">
        <f>H39+M39</f>
        <v>6341.08</v>
      </c>
      <c r="O39" s="5" t="s">
        <v>47</v>
      </c>
      <c r="P39" s="33">
        <f t="shared" si="1"/>
        <v>322.06799999999998</v>
      </c>
      <c r="Q39" s="33">
        <f t="shared" si="2"/>
        <v>347.83344</v>
      </c>
    </row>
    <row r="40" spans="1:17" s="55" customFormat="1" x14ac:dyDescent="0.25">
      <c r="A40" s="5">
        <v>271</v>
      </c>
      <c r="B40" s="6" t="s">
        <v>59</v>
      </c>
      <c r="C40" s="7">
        <v>3500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3060</v>
      </c>
      <c r="I40" s="10">
        <v>300</v>
      </c>
      <c r="J40" s="10">
        <v>140</v>
      </c>
      <c r="K40" s="21"/>
      <c r="L40" s="19"/>
      <c r="M40" s="22">
        <f>C40-H40-I40+L40-K40-J40</f>
        <v>0</v>
      </c>
      <c r="N40" s="14">
        <f t="shared" si="0"/>
        <v>3060</v>
      </c>
      <c r="O40" s="5" t="s">
        <v>47</v>
      </c>
      <c r="P40" s="33">
        <f t="shared" si="1"/>
        <v>0</v>
      </c>
      <c r="Q40" s="33">
        <f t="shared" si="2"/>
        <v>0</v>
      </c>
    </row>
    <row r="41" spans="1:17" s="55" customFormat="1" x14ac:dyDescent="0.25">
      <c r="A41" s="5">
        <v>275</v>
      </c>
      <c r="B41" s="6" t="s">
        <v>60</v>
      </c>
      <c r="C41" s="7">
        <v>3375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2787.2</v>
      </c>
      <c r="I41" s="10">
        <v>0</v>
      </c>
      <c r="J41" s="10">
        <v>0</v>
      </c>
      <c r="K41" s="21">
        <v>587.84</v>
      </c>
      <c r="L41" s="19"/>
      <c r="M41" s="84">
        <f>C41-H41-I41+L41-K41-J41+0.04</f>
        <v>1.5006745845980163E-13</v>
      </c>
      <c r="N41" s="14">
        <f t="shared" si="0"/>
        <v>2787.2</v>
      </c>
      <c r="O41" s="5" t="s">
        <v>47</v>
      </c>
      <c r="P41" s="33">
        <f t="shared" si="1"/>
        <v>1.5006745845980165E-14</v>
      </c>
      <c r="Q41" s="33">
        <f t="shared" si="2"/>
        <v>1.6207285513658578E-14</v>
      </c>
    </row>
    <row r="42" spans="1:17" s="55" customFormat="1" x14ac:dyDescent="0.25">
      <c r="A42" s="5">
        <v>276</v>
      </c>
      <c r="B42" s="6" t="s">
        <v>61</v>
      </c>
      <c r="C42" s="7">
        <v>5000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3354.4</v>
      </c>
      <c r="I42" s="10">
        <v>375</v>
      </c>
      <c r="J42" s="10">
        <v>210</v>
      </c>
      <c r="K42" s="11"/>
      <c r="L42" s="19"/>
      <c r="M42" s="13">
        <f t="shared" si="6"/>
        <v>1060.5999999999999</v>
      </c>
      <c r="N42" s="14">
        <f t="shared" si="0"/>
        <v>4415</v>
      </c>
      <c r="O42" s="5" t="s">
        <v>47</v>
      </c>
      <c r="P42" s="33">
        <f t="shared" si="1"/>
        <v>106.06</v>
      </c>
      <c r="Q42" s="33">
        <f t="shared" si="2"/>
        <v>114.54480000000001</v>
      </c>
    </row>
    <row r="43" spans="1:17" s="55" customFormat="1" x14ac:dyDescent="0.25">
      <c r="A43" s="5">
        <v>279</v>
      </c>
      <c r="B43" s="6" t="s">
        <v>63</v>
      </c>
      <c r="C43" s="7">
        <v>3500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3280</v>
      </c>
      <c r="I43" s="10">
        <v>150</v>
      </c>
      <c r="J43" s="10">
        <v>70</v>
      </c>
      <c r="K43" s="21"/>
      <c r="L43" s="19"/>
      <c r="M43" s="22">
        <f>C43-H43-I43+L43-K43-J43</f>
        <v>0</v>
      </c>
      <c r="N43" s="14">
        <f t="shared" si="0"/>
        <v>3280</v>
      </c>
      <c r="O43" s="5" t="s">
        <v>47</v>
      </c>
      <c r="P43" s="33">
        <f t="shared" si="1"/>
        <v>0</v>
      </c>
      <c r="Q43" s="33">
        <f t="shared" si="2"/>
        <v>0</v>
      </c>
    </row>
    <row r="44" spans="1:17" s="55" customFormat="1" x14ac:dyDescent="0.25">
      <c r="A44" s="5">
        <v>280</v>
      </c>
      <c r="B44" s="6" t="s">
        <v>64</v>
      </c>
      <c r="C44" s="7">
        <v>5000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3354.2</v>
      </c>
      <c r="I44" s="10">
        <v>0</v>
      </c>
      <c r="J44" s="10">
        <v>0</v>
      </c>
      <c r="K44" s="11"/>
      <c r="L44" s="19"/>
      <c r="M44" s="13">
        <f t="shared" si="6"/>
        <v>1645.8000000000002</v>
      </c>
      <c r="N44" s="14">
        <f t="shared" si="0"/>
        <v>5000</v>
      </c>
      <c r="O44" s="5" t="s">
        <v>47</v>
      </c>
      <c r="P44" s="33">
        <f t="shared" si="1"/>
        <v>164.58000000000004</v>
      </c>
      <c r="Q44" s="33">
        <f t="shared" si="2"/>
        <v>177.74640000000005</v>
      </c>
    </row>
    <row r="45" spans="1:17" s="55" customFormat="1" x14ac:dyDescent="0.25">
      <c r="A45" s="5">
        <v>281</v>
      </c>
      <c r="B45" s="6" t="s">
        <v>65</v>
      </c>
      <c r="C45" s="7">
        <v>8750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3354.4</v>
      </c>
      <c r="I45" s="10">
        <v>0</v>
      </c>
      <c r="J45" s="10">
        <v>0</v>
      </c>
      <c r="K45" s="11"/>
      <c r="L45" s="19"/>
      <c r="M45" s="13">
        <f t="shared" si="6"/>
        <v>5395.6</v>
      </c>
      <c r="N45" s="14">
        <f t="shared" si="0"/>
        <v>8750</v>
      </c>
      <c r="O45" s="5" t="s">
        <v>47</v>
      </c>
      <c r="P45" s="33">
        <f t="shared" si="1"/>
        <v>539.56000000000006</v>
      </c>
      <c r="Q45" s="33">
        <f t="shared" si="2"/>
        <v>582.72480000000007</v>
      </c>
    </row>
    <row r="46" spans="1:17" s="55" customFormat="1" x14ac:dyDescent="0.25">
      <c r="A46" s="5">
        <v>283</v>
      </c>
      <c r="B46" s="6" t="s">
        <v>66</v>
      </c>
      <c r="C46" s="7">
        <v>5000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3354.2</v>
      </c>
      <c r="I46" s="10">
        <v>0</v>
      </c>
      <c r="J46" s="10">
        <v>0</v>
      </c>
      <c r="K46" s="11"/>
      <c r="L46" s="12"/>
      <c r="M46" s="13">
        <f t="shared" si="6"/>
        <v>1645.8000000000002</v>
      </c>
      <c r="N46" s="14">
        <f t="shared" si="0"/>
        <v>5000</v>
      </c>
      <c r="O46" s="5" t="s">
        <v>47</v>
      </c>
      <c r="P46" s="33">
        <f t="shared" si="1"/>
        <v>164.58000000000004</v>
      </c>
      <c r="Q46" s="33">
        <f t="shared" si="2"/>
        <v>177.74640000000005</v>
      </c>
    </row>
    <row r="47" spans="1:17" s="55" customFormat="1" x14ac:dyDescent="0.25">
      <c r="A47" s="5">
        <v>284</v>
      </c>
      <c r="B47" s="6" t="s">
        <v>67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>
        <v>0</v>
      </c>
      <c r="J47" s="10">
        <v>0</v>
      </c>
      <c r="K47" s="11"/>
      <c r="L47" s="19"/>
      <c r="M47" s="13">
        <f t="shared" si="6"/>
        <v>645.59999999999991</v>
      </c>
      <c r="N47" s="14">
        <f t="shared" si="0"/>
        <v>4000</v>
      </c>
      <c r="O47" s="5" t="s">
        <v>47</v>
      </c>
      <c r="P47" s="33">
        <f t="shared" si="1"/>
        <v>64.559999999999988</v>
      </c>
      <c r="Q47" s="33">
        <f t="shared" si="2"/>
        <v>69.724799999999988</v>
      </c>
    </row>
    <row r="48" spans="1:17" x14ac:dyDescent="0.25">
      <c r="A48" s="5">
        <v>285</v>
      </c>
      <c r="B48" s="6" t="s">
        <v>68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3120.2</v>
      </c>
      <c r="I48" s="10">
        <v>0</v>
      </c>
      <c r="J48" s="10">
        <v>0</v>
      </c>
      <c r="K48" s="21">
        <v>293.92</v>
      </c>
      <c r="L48" s="12"/>
      <c r="M48" s="13">
        <f t="shared" si="6"/>
        <v>585.88000000000011</v>
      </c>
      <c r="N48" s="14">
        <f t="shared" si="0"/>
        <v>3706.08</v>
      </c>
      <c r="O48" s="5" t="s">
        <v>47</v>
      </c>
      <c r="P48" s="33">
        <f t="shared" si="1"/>
        <v>58.588000000000015</v>
      </c>
      <c r="Q48" s="33">
        <f t="shared" si="2"/>
        <v>63.275040000000018</v>
      </c>
    </row>
    <row r="49" spans="1:18" x14ac:dyDescent="0.25">
      <c r="A49" s="5">
        <v>286</v>
      </c>
      <c r="B49" s="6" t="s">
        <v>69</v>
      </c>
      <c r="C49" s="7">
        <v>4000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>
        <v>375</v>
      </c>
      <c r="J49" s="10">
        <v>0</v>
      </c>
      <c r="K49" s="11"/>
      <c r="L49" s="19"/>
      <c r="M49" s="13">
        <f t="shared" si="6"/>
        <v>270.80000000000018</v>
      </c>
      <c r="N49" s="14">
        <f t="shared" si="0"/>
        <v>3625</v>
      </c>
      <c r="O49" s="5" t="s">
        <v>47</v>
      </c>
      <c r="P49" s="33">
        <f t="shared" si="1"/>
        <v>27.08000000000002</v>
      </c>
      <c r="Q49" s="33">
        <f t="shared" si="2"/>
        <v>29.246400000000023</v>
      </c>
    </row>
    <row r="50" spans="1:18" x14ac:dyDescent="0.25">
      <c r="A50" s="5">
        <v>287</v>
      </c>
      <c r="B50" s="6" t="s">
        <v>72</v>
      </c>
      <c r="C50" s="7">
        <v>5000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3354.4</v>
      </c>
      <c r="I50" s="10">
        <v>375</v>
      </c>
      <c r="J50" s="10">
        <v>175</v>
      </c>
      <c r="K50" s="11"/>
      <c r="L50" s="19"/>
      <c r="M50" s="13">
        <f t="shared" si="6"/>
        <v>1095.5999999999999</v>
      </c>
      <c r="N50" s="14">
        <f t="shared" si="0"/>
        <v>4450</v>
      </c>
      <c r="O50" s="5" t="s">
        <v>47</v>
      </c>
      <c r="P50" s="33">
        <f t="shared" si="1"/>
        <v>109.56</v>
      </c>
      <c r="Q50" s="33">
        <f t="shared" si="2"/>
        <v>118.32480000000001</v>
      </c>
    </row>
    <row r="51" spans="1:18" x14ac:dyDescent="0.25">
      <c r="A51" s="5">
        <v>288</v>
      </c>
      <c r="B51" s="6" t="s">
        <v>73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0</v>
      </c>
      <c r="J51" s="10">
        <v>0</v>
      </c>
      <c r="K51" s="11"/>
      <c r="L51" s="19"/>
      <c r="M51" s="13">
        <f t="shared" si="6"/>
        <v>145.59999999999991</v>
      </c>
      <c r="N51" s="14">
        <f t="shared" si="0"/>
        <v>3500</v>
      </c>
      <c r="O51" s="5" t="s">
        <v>47</v>
      </c>
      <c r="P51" s="33">
        <f t="shared" si="1"/>
        <v>14.559999999999992</v>
      </c>
      <c r="Q51" s="33">
        <f t="shared" si="2"/>
        <v>15.724799999999991</v>
      </c>
    </row>
    <row r="52" spans="1:18" x14ac:dyDescent="0.25">
      <c r="A52" s="5">
        <v>289</v>
      </c>
      <c r="B52" s="6" t="s">
        <v>74</v>
      </c>
      <c r="C52" s="7">
        <v>3500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0</v>
      </c>
      <c r="J52" s="10">
        <v>0</v>
      </c>
      <c r="K52" s="11"/>
      <c r="L52" s="19"/>
      <c r="M52" s="13">
        <f t="shared" si="6"/>
        <v>145.59999999999991</v>
      </c>
      <c r="N52" s="14">
        <f t="shared" si="0"/>
        <v>3500</v>
      </c>
      <c r="O52" s="5" t="s">
        <v>47</v>
      </c>
      <c r="P52" s="33">
        <f t="shared" si="1"/>
        <v>14.559999999999992</v>
      </c>
      <c r="Q52" s="33">
        <f t="shared" si="2"/>
        <v>15.724799999999991</v>
      </c>
    </row>
    <row r="53" spans="1:18" x14ac:dyDescent="0.25">
      <c r="A53" s="5">
        <v>291</v>
      </c>
      <c r="B53" s="6" t="s">
        <v>78</v>
      </c>
      <c r="C53" s="7">
        <v>4250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3354.2</v>
      </c>
      <c r="I53" s="10">
        <v>0</v>
      </c>
      <c r="J53" s="10">
        <v>35</v>
      </c>
      <c r="K53" s="11"/>
      <c r="L53" s="19"/>
      <c r="M53" s="13">
        <f t="shared" si="6"/>
        <v>860.80000000000018</v>
      </c>
      <c r="N53" s="14">
        <f t="shared" si="0"/>
        <v>4215</v>
      </c>
      <c r="O53" s="5" t="s">
        <v>47</v>
      </c>
      <c r="P53" s="33">
        <f t="shared" si="1"/>
        <v>86.080000000000027</v>
      </c>
      <c r="Q53" s="33">
        <f t="shared" si="2"/>
        <v>92.966400000000036</v>
      </c>
    </row>
    <row r="54" spans="1:18" x14ac:dyDescent="0.25">
      <c r="A54" s="5">
        <v>293</v>
      </c>
      <c r="B54" s="6" t="s">
        <v>89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3354.4</v>
      </c>
      <c r="I54" s="10">
        <v>0</v>
      </c>
      <c r="J54" s="10">
        <v>35</v>
      </c>
      <c r="K54" s="11"/>
      <c r="L54" s="12"/>
      <c r="M54" s="13">
        <f t="shared" si="6"/>
        <v>610.59999999999991</v>
      </c>
      <c r="N54" s="14">
        <f t="shared" si="0"/>
        <v>3965</v>
      </c>
      <c r="O54" s="5" t="s">
        <v>47</v>
      </c>
      <c r="P54" s="33">
        <f t="shared" si="1"/>
        <v>61.059999999999995</v>
      </c>
      <c r="Q54" s="33">
        <f t="shared" si="2"/>
        <v>65.944800000000001</v>
      </c>
    </row>
    <row r="55" spans="1:18" x14ac:dyDescent="0.25">
      <c r="A55" s="5">
        <v>294</v>
      </c>
      <c r="B55" s="6" t="s">
        <v>91</v>
      </c>
      <c r="C55" s="7">
        <v>4000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375</v>
      </c>
      <c r="J55" s="10">
        <v>175</v>
      </c>
      <c r="K55" s="11"/>
      <c r="L55" s="12"/>
      <c r="M55" s="22">
        <f>C55-H55-I55+L55-K55-J55+0.02</f>
        <v>95.619999999999905</v>
      </c>
      <c r="N55" s="14">
        <f t="shared" si="0"/>
        <v>3450.02</v>
      </c>
      <c r="O55" s="5" t="s">
        <v>47</v>
      </c>
      <c r="P55" s="33">
        <f t="shared" si="1"/>
        <v>9.5619999999999905</v>
      </c>
      <c r="Q55" s="33">
        <f t="shared" si="2"/>
        <v>10.326959999999991</v>
      </c>
    </row>
    <row r="56" spans="1:18" x14ac:dyDescent="0.25">
      <c r="A56" s="5">
        <v>295</v>
      </c>
      <c r="B56" s="6" t="s">
        <v>104</v>
      </c>
      <c r="C56" s="7">
        <v>5500</v>
      </c>
      <c r="D56" s="7">
        <v>419.88</v>
      </c>
      <c r="E56" s="8">
        <f>D56*6</f>
        <v>2519.2799999999997</v>
      </c>
      <c r="F56" s="8">
        <f t="shared" si="4"/>
        <v>419.88</v>
      </c>
      <c r="G56" s="9">
        <f>E56+F56</f>
        <v>2939.16</v>
      </c>
      <c r="H56" s="37">
        <v>3354.2</v>
      </c>
      <c r="I56" s="10">
        <v>375</v>
      </c>
      <c r="J56" s="10">
        <v>0</v>
      </c>
      <c r="K56" s="11"/>
      <c r="L56" s="12"/>
      <c r="M56" s="22">
        <f>C56-H56-I56+L56-K56-J56+0.02</f>
        <v>1770.8200000000002</v>
      </c>
      <c r="N56" s="14">
        <f>H56+M56</f>
        <v>5125.0200000000004</v>
      </c>
      <c r="O56" s="5" t="s">
        <v>47</v>
      </c>
      <c r="P56" s="33">
        <f>+M56*0.1</f>
        <v>177.08200000000002</v>
      </c>
      <c r="Q56" s="33">
        <f>+P56*1.08</f>
        <v>191.24856000000003</v>
      </c>
    </row>
    <row r="57" spans="1:18" x14ac:dyDescent="0.25">
      <c r="A57" s="5">
        <v>296</v>
      </c>
      <c r="B57" s="6" t="s">
        <v>107</v>
      </c>
      <c r="C57" s="7">
        <v>5000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2879</v>
      </c>
      <c r="I57" s="10">
        <v>0</v>
      </c>
      <c r="J57" s="10">
        <v>0</v>
      </c>
      <c r="K57" s="11">
        <v>835.71</v>
      </c>
      <c r="L57" s="12"/>
      <c r="M57" s="22">
        <f>C57-H57-I57+L57-K57-J57+0.02</f>
        <v>1285.31</v>
      </c>
      <c r="N57" s="14">
        <f t="shared" si="0"/>
        <v>4164.3099999999995</v>
      </c>
      <c r="O57" s="5" t="s">
        <v>47</v>
      </c>
      <c r="P57" s="33">
        <f t="shared" si="1"/>
        <v>128.53100000000001</v>
      </c>
      <c r="Q57" s="33">
        <f t="shared" si="2"/>
        <v>138.81348000000003</v>
      </c>
    </row>
    <row r="58" spans="1:18" ht="16.149999999999999" customHeight="1" thickBot="1" x14ac:dyDescent="0.3"/>
    <row r="59" spans="1:18" ht="18" thickBot="1" x14ac:dyDescent="0.35">
      <c r="A59" s="23"/>
      <c r="B59" s="24"/>
      <c r="C59" s="25">
        <f t="shared" ref="C59:N59" si="7">SUM(C4:C58)</f>
        <v>267125</v>
      </c>
      <c r="D59" s="25">
        <f t="shared" si="7"/>
        <v>22673.52</v>
      </c>
      <c r="E59" s="25">
        <f t="shared" si="7"/>
        <v>133521.83999999997</v>
      </c>
      <c r="F59" s="25">
        <f t="shared" si="7"/>
        <v>22253.64</v>
      </c>
      <c r="G59" s="25">
        <f t="shared" si="7"/>
        <v>155775.48000000013</v>
      </c>
      <c r="H59" s="25">
        <f t="shared" si="7"/>
        <v>185722.39999999997</v>
      </c>
      <c r="I59" s="26">
        <f t="shared" si="7"/>
        <v>8925</v>
      </c>
      <c r="J59" s="26">
        <f t="shared" si="7"/>
        <v>3080</v>
      </c>
      <c r="K59" s="26">
        <f t="shared" si="7"/>
        <v>6036.15</v>
      </c>
      <c r="L59" s="27">
        <f t="shared" si="7"/>
        <v>3446.41</v>
      </c>
      <c r="M59" s="25">
        <f t="shared" si="7"/>
        <v>75156.160000000076</v>
      </c>
      <c r="N59" s="25">
        <f t="shared" si="7"/>
        <v>260878.55999999994</v>
      </c>
      <c r="P59" s="25">
        <f>SUM(P4:P58)</f>
        <v>7515.6160000000018</v>
      </c>
      <c r="Q59" s="25">
        <f>SUM(Q4:Q58)</f>
        <v>8116.8652800000027</v>
      </c>
      <c r="R59" s="55">
        <f>+N59+Q59</f>
        <v>268995.42527999997</v>
      </c>
    </row>
    <row r="60" spans="1:18" x14ac:dyDescent="0.25">
      <c r="H60" s="15"/>
      <c r="M60" s="15"/>
    </row>
    <row r="61" spans="1:18" x14ac:dyDescent="0.25">
      <c r="H61" s="15"/>
      <c r="I61">
        <f>+I59/75</f>
        <v>119</v>
      </c>
      <c r="J61" s="28">
        <f>SUM(J59)/35</f>
        <v>88</v>
      </c>
      <c r="R61" s="55">
        <v>12886.8</v>
      </c>
    </row>
    <row r="62" spans="1:18" x14ac:dyDescent="0.25">
      <c r="F62" s="15"/>
      <c r="H62" s="15">
        <f>H59+M59</f>
        <v>260878.56000000006</v>
      </c>
      <c r="K62" s="15"/>
    </row>
    <row r="63" spans="1:18" x14ac:dyDescent="0.25">
      <c r="H63" s="15">
        <f>'[1]Nom 9'!$H$53</f>
        <v>131178.05999999994</v>
      </c>
      <c r="I63" s="40"/>
      <c r="J63" s="15"/>
    </row>
    <row r="64" spans="1:18" x14ac:dyDescent="0.25">
      <c r="H64" s="15">
        <f>[2]Rino!$H$8</f>
        <v>75398.810000000012</v>
      </c>
    </row>
    <row r="65" spans="8:10" x14ac:dyDescent="0.25">
      <c r="H65" s="15">
        <f>H63+H64</f>
        <v>206576.86999999994</v>
      </c>
    </row>
    <row r="70" spans="8:10" x14ac:dyDescent="0.25">
      <c r="J70" s="15" t="e">
        <f>(H59-#REF!-#REF!)+3354.4+2879</f>
        <v>#REF!</v>
      </c>
    </row>
  </sheetData>
  <autoFilter ref="A3:Q57" xr:uid="{00000000-0009-0000-0000-000012000000}"/>
  <mergeCells count="2">
    <mergeCell ref="A1:N1"/>
    <mergeCell ref="A2:N2"/>
  </mergeCells>
  <pageMargins left="0.25" right="0.25" top="0.75" bottom="0.75" header="0.3" footer="0.3"/>
  <pageSetup scale="48" fitToWidth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R65"/>
  <sheetViews>
    <sheetView showGridLines="0" topLeftCell="C7" zoomScaleNormal="100" workbookViewId="0">
      <selection activeCell="L33" sqref="L33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70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4</v>
      </c>
      <c r="B4" s="6" t="s">
        <v>13</v>
      </c>
      <c r="C4" s="7">
        <v>7500</v>
      </c>
      <c r="D4" s="7">
        <v>419.88</v>
      </c>
      <c r="E4" s="8">
        <f>D4*6</f>
        <v>2519.2799999999997</v>
      </c>
      <c r="F4" s="8">
        <f>$D$4</f>
        <v>419.88</v>
      </c>
      <c r="G4" s="9">
        <f>E4+F4</f>
        <v>2939.16</v>
      </c>
      <c r="H4" s="37">
        <v>2883.2</v>
      </c>
      <c r="I4" s="10">
        <v>375</v>
      </c>
      <c r="J4" s="10">
        <v>35</v>
      </c>
      <c r="K4" s="16">
        <v>400.21</v>
      </c>
      <c r="L4" s="12"/>
      <c r="M4" s="13">
        <f>C4-H4-I4+L4-K4-J4</f>
        <v>3806.59</v>
      </c>
      <c r="N4" s="14">
        <f t="shared" ref="N4:N57" si="0">H4+M4</f>
        <v>6689.79</v>
      </c>
      <c r="O4" s="34" t="s">
        <v>48</v>
      </c>
      <c r="P4" s="33">
        <f t="shared" ref="P4:P57" si="1">+M4*0.1</f>
        <v>380.65900000000005</v>
      </c>
      <c r="Q4" s="33">
        <f t="shared" ref="Q4:Q57" si="2">+P4*1.08</f>
        <v>411.1117200000001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7" si="3">D5*6</f>
        <v>2519.2799999999997</v>
      </c>
      <c r="F5" s="8">
        <f>$D$4</f>
        <v>419.88</v>
      </c>
      <c r="G5" s="9">
        <f t="shared" ref="G5:G57" si="4">E5+F5</f>
        <v>2939.16</v>
      </c>
      <c r="H5" s="37">
        <v>3354.4</v>
      </c>
      <c r="I5" s="10">
        <v>150</v>
      </c>
      <c r="J5" s="10">
        <v>0</v>
      </c>
      <c r="K5" s="11"/>
      <c r="L5" s="12"/>
      <c r="M5" s="13">
        <f>C5-H5-I5+L5-K5-J5</f>
        <v>495.59999999999991</v>
      </c>
      <c r="N5" s="14">
        <f t="shared" si="0"/>
        <v>3850</v>
      </c>
      <c r="O5" s="29" t="s">
        <v>47</v>
      </c>
      <c r="P5" s="33">
        <f t="shared" si="1"/>
        <v>49.559999999999995</v>
      </c>
      <c r="Q5" s="33">
        <f t="shared" si="2"/>
        <v>53.524799999999999</v>
      </c>
    </row>
    <row r="6" spans="1:17" x14ac:dyDescent="0.25">
      <c r="A6" s="36">
        <v>14</v>
      </c>
      <c r="B6" s="6" t="s">
        <v>15</v>
      </c>
      <c r="C6" s="7">
        <v>8750</v>
      </c>
      <c r="D6" s="7">
        <v>419.88</v>
      </c>
      <c r="E6" s="8">
        <f t="shared" si="3"/>
        <v>2519.2799999999997</v>
      </c>
      <c r="F6" s="8">
        <f t="shared" ref="F6:F14" si="5">$D$4</f>
        <v>419.88</v>
      </c>
      <c r="G6" s="9">
        <f t="shared" si="4"/>
        <v>2939.16</v>
      </c>
      <c r="H6" s="38">
        <v>1467.6</v>
      </c>
      <c r="I6" s="18">
        <v>225</v>
      </c>
      <c r="J6" s="18">
        <v>0</v>
      </c>
      <c r="K6" s="11">
        <v>5000</v>
      </c>
      <c r="L6" s="12">
        <v>625</v>
      </c>
      <c r="M6" s="13">
        <f t="shared" ref="M6:M57" si="6">C6-H6-I6+L6-K6-J6</f>
        <v>2682.3999999999996</v>
      </c>
      <c r="N6" s="14">
        <f t="shared" si="0"/>
        <v>4150</v>
      </c>
      <c r="O6" s="30" t="s">
        <v>47</v>
      </c>
      <c r="P6" s="33">
        <f t="shared" si="1"/>
        <v>268.23999999999995</v>
      </c>
      <c r="Q6" s="33">
        <f t="shared" si="2"/>
        <v>289.69919999999996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5"/>
        <v>419.88</v>
      </c>
      <c r="G7" s="9">
        <f t="shared" si="4"/>
        <v>2939.16</v>
      </c>
      <c r="H7" s="38">
        <v>3469.8</v>
      </c>
      <c r="I7" s="10">
        <v>75</v>
      </c>
      <c r="J7" s="10">
        <v>35</v>
      </c>
      <c r="K7" s="21"/>
      <c r="L7" s="12">
        <v>428.57</v>
      </c>
      <c r="M7" s="13">
        <f t="shared" si="6"/>
        <v>848.76999999999975</v>
      </c>
      <c r="N7" s="14">
        <f t="shared" si="0"/>
        <v>4318.57</v>
      </c>
      <c r="O7" s="36" t="s">
        <v>47</v>
      </c>
      <c r="P7" s="33">
        <f t="shared" si="1"/>
        <v>84.876999999999981</v>
      </c>
      <c r="Q7" s="33">
        <f t="shared" si="2"/>
        <v>91.667159999999981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5"/>
        <v>419.88</v>
      </c>
      <c r="G8" s="9">
        <f t="shared" si="4"/>
        <v>2939.16</v>
      </c>
      <c r="H8" s="37">
        <v>3354.4</v>
      </c>
      <c r="I8" s="10">
        <v>375</v>
      </c>
      <c r="J8" s="10">
        <v>35</v>
      </c>
      <c r="K8" s="11"/>
      <c r="L8" s="19"/>
      <c r="M8" s="13">
        <f t="shared" si="6"/>
        <v>735.59999999999991</v>
      </c>
      <c r="N8" s="14">
        <f t="shared" si="0"/>
        <v>4090</v>
      </c>
      <c r="O8" s="30" t="s">
        <v>47</v>
      </c>
      <c r="P8" s="33">
        <f t="shared" si="1"/>
        <v>73.559999999999988</v>
      </c>
      <c r="Q8" s="33">
        <f t="shared" si="2"/>
        <v>79.444799999999987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5"/>
        <v>419.88</v>
      </c>
      <c r="G9" s="9">
        <f t="shared" si="4"/>
        <v>2939.16</v>
      </c>
      <c r="H9" s="37">
        <v>3021.8</v>
      </c>
      <c r="I9" s="10">
        <v>150.46</v>
      </c>
      <c r="J9" s="10">
        <v>70</v>
      </c>
      <c r="K9" s="16">
        <f>500+257.74</f>
        <v>757.74</v>
      </c>
      <c r="L9" s="19"/>
      <c r="M9" s="13">
        <f>C9-H9-I9+L9-K9-J9</f>
        <v>-2.2737367544323206E-13</v>
      </c>
      <c r="N9" s="14">
        <f t="shared" si="0"/>
        <v>3021.8</v>
      </c>
      <c r="O9" s="30" t="s">
        <v>47</v>
      </c>
      <c r="P9" s="33">
        <f t="shared" si="1"/>
        <v>-2.2737367544323207E-14</v>
      </c>
      <c r="Q9" s="33">
        <f t="shared" si="2"/>
        <v>-2.4556356947869065E-14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5"/>
        <v>419.88</v>
      </c>
      <c r="G10" s="9">
        <f t="shared" si="4"/>
        <v>2939.16</v>
      </c>
      <c r="H10" s="37">
        <v>3354.4</v>
      </c>
      <c r="I10" s="10">
        <v>0</v>
      </c>
      <c r="J10" s="10">
        <v>0</v>
      </c>
      <c r="K10" s="20"/>
      <c r="L10" s="19"/>
      <c r="M10" s="13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5"/>
        <v>419.88</v>
      </c>
      <c r="G11" s="9">
        <f t="shared" si="4"/>
        <v>2939.16</v>
      </c>
      <c r="H11" s="37">
        <v>3354.2</v>
      </c>
      <c r="I11" s="10">
        <v>225</v>
      </c>
      <c r="J11" s="10">
        <v>0</v>
      </c>
      <c r="K11" s="11"/>
      <c r="L11" s="19"/>
      <c r="M11" s="13">
        <f>C11-H11-I11+L11-K11-J11</f>
        <v>3420.8</v>
      </c>
      <c r="N11" s="14">
        <f t="shared" si="0"/>
        <v>6775</v>
      </c>
      <c r="O11" s="30" t="s">
        <v>47</v>
      </c>
      <c r="P11" s="33">
        <f t="shared" si="1"/>
        <v>342.08000000000004</v>
      </c>
      <c r="Q11" s="33">
        <f t="shared" si="2"/>
        <v>369.4464000000001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5"/>
        <v>419.88</v>
      </c>
      <c r="G12" s="9">
        <f t="shared" si="4"/>
        <v>2939.16</v>
      </c>
      <c r="H12" s="37">
        <v>3354.2</v>
      </c>
      <c r="I12" s="10">
        <v>75</v>
      </c>
      <c r="J12" s="10">
        <v>0</v>
      </c>
      <c r="K12" s="21"/>
      <c r="L12" s="12"/>
      <c r="M12" s="13">
        <f>C12-H12-I12+L12-K12-J12</f>
        <v>1570.8000000000002</v>
      </c>
      <c r="N12" s="14">
        <f t="shared" si="0"/>
        <v>4925</v>
      </c>
      <c r="O12" s="30" t="s">
        <v>47</v>
      </c>
      <c r="P12" s="33">
        <f t="shared" si="1"/>
        <v>157.08000000000004</v>
      </c>
      <c r="Q12" s="33">
        <f t="shared" si="2"/>
        <v>169.64640000000006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5"/>
        <v>419.88</v>
      </c>
      <c r="G13" s="9">
        <f t="shared" si="4"/>
        <v>2939.16</v>
      </c>
      <c r="H13" s="37">
        <v>3205</v>
      </c>
      <c r="I13" s="10">
        <v>225</v>
      </c>
      <c r="J13" s="10">
        <v>70</v>
      </c>
      <c r="K13" s="21"/>
      <c r="L13" s="12"/>
      <c r="M13" s="13">
        <f>C13-H13-I13+L13-K13-J13</f>
        <v>0</v>
      </c>
      <c r="N13" s="14">
        <f t="shared" si="0"/>
        <v>3205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5">
        <v>149</v>
      </c>
      <c r="B14" s="17" t="s">
        <v>23</v>
      </c>
      <c r="C14" s="7">
        <v>3500</v>
      </c>
      <c r="D14" s="7">
        <v>419.88</v>
      </c>
      <c r="E14" s="8">
        <f t="shared" si="3"/>
        <v>2519.2799999999997</v>
      </c>
      <c r="F14" s="8">
        <f t="shared" si="5"/>
        <v>419.88</v>
      </c>
      <c r="G14" s="9">
        <f t="shared" si="4"/>
        <v>2939.16</v>
      </c>
      <c r="H14" s="37">
        <v>3354.2</v>
      </c>
      <c r="I14" s="10">
        <v>75</v>
      </c>
      <c r="J14" s="10">
        <v>70</v>
      </c>
      <c r="K14" s="21"/>
      <c r="L14" s="12"/>
      <c r="M14" s="13">
        <f>C14-H14-I14+L14-K14-J14</f>
        <v>0.8000000000001819</v>
      </c>
      <c r="N14" s="14">
        <f t="shared" si="0"/>
        <v>3355</v>
      </c>
      <c r="O14" s="30" t="s">
        <v>47</v>
      </c>
      <c r="P14" s="33">
        <f t="shared" si="1"/>
        <v>8.0000000000018195E-2</v>
      </c>
      <c r="Q14" s="33">
        <f t="shared" si="2"/>
        <v>8.6400000000019656E-2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ref="F15:F22" si="7">$D$4</f>
        <v>419.88</v>
      </c>
      <c r="G15" s="9">
        <f t="shared" si="4"/>
        <v>2939.16</v>
      </c>
      <c r="H15" s="37">
        <v>3354.2</v>
      </c>
      <c r="I15" s="10">
        <v>0</v>
      </c>
      <c r="J15" s="10">
        <v>0</v>
      </c>
      <c r="K15" s="22"/>
      <c r="L15" s="12"/>
      <c r="M15" s="13">
        <f t="shared" si="6"/>
        <v>645.80000000000018</v>
      </c>
      <c r="N15" s="14">
        <f t="shared" si="0"/>
        <v>4000</v>
      </c>
      <c r="O15" s="30" t="s">
        <v>47</v>
      </c>
      <c r="P15" s="33">
        <f t="shared" si="1"/>
        <v>64.580000000000027</v>
      </c>
      <c r="Q15" s="33">
        <f t="shared" si="2"/>
        <v>69.746400000000037</v>
      </c>
    </row>
    <row r="16" spans="1:17" x14ac:dyDescent="0.25">
      <c r="A16" s="5">
        <v>151</v>
      </c>
      <c r="B16" s="6" t="s">
        <v>25</v>
      </c>
      <c r="C16" s="7">
        <v>3500</v>
      </c>
      <c r="D16" s="7">
        <v>419.88</v>
      </c>
      <c r="E16" s="8">
        <f t="shared" si="3"/>
        <v>2519.2799999999997</v>
      </c>
      <c r="F16" s="8">
        <f t="shared" si="7"/>
        <v>419.88</v>
      </c>
      <c r="G16" s="9">
        <f t="shared" si="4"/>
        <v>2939.16</v>
      </c>
      <c r="H16" s="37">
        <v>3354.4</v>
      </c>
      <c r="I16" s="10">
        <v>75</v>
      </c>
      <c r="J16" s="10">
        <v>0</v>
      </c>
      <c r="K16" s="21"/>
      <c r="L16" s="12"/>
      <c r="M16" s="13">
        <f t="shared" si="6"/>
        <v>70.599999999999909</v>
      </c>
      <c r="N16" s="14">
        <f t="shared" si="0"/>
        <v>3425</v>
      </c>
      <c r="O16" s="29" t="s">
        <v>47</v>
      </c>
      <c r="P16" s="33">
        <f t="shared" si="1"/>
        <v>7.0599999999999916</v>
      </c>
      <c r="Q16" s="33">
        <f t="shared" si="2"/>
        <v>7.6247999999999916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7"/>
        <v>419.88</v>
      </c>
      <c r="G17" s="9">
        <f t="shared" si="4"/>
        <v>2939.16</v>
      </c>
      <c r="H17" s="37">
        <v>3354.2</v>
      </c>
      <c r="I17" s="10">
        <v>0</v>
      </c>
      <c r="J17" s="10">
        <v>0</v>
      </c>
      <c r="K17" s="21"/>
      <c r="L17" s="19"/>
      <c r="M17" s="13">
        <f t="shared" si="6"/>
        <v>645.80000000000018</v>
      </c>
      <c r="N17" s="14">
        <f t="shared" si="0"/>
        <v>4000</v>
      </c>
      <c r="O17" s="29" t="s">
        <v>47</v>
      </c>
      <c r="P17" s="33">
        <f t="shared" si="1"/>
        <v>64.580000000000027</v>
      </c>
      <c r="Q17" s="33">
        <f t="shared" si="2"/>
        <v>69.746400000000037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7"/>
        <v>419.88</v>
      </c>
      <c r="G18" s="9">
        <f t="shared" si="4"/>
        <v>2939.16</v>
      </c>
      <c r="H18" s="37">
        <v>3325</v>
      </c>
      <c r="I18" s="10">
        <v>675</v>
      </c>
      <c r="J18" s="10">
        <v>0</v>
      </c>
      <c r="K18" s="21"/>
      <c r="L18" s="12"/>
      <c r="M18" s="13">
        <f t="shared" si="6"/>
        <v>0</v>
      </c>
      <c r="N18" s="14">
        <f t="shared" si="0"/>
        <v>3325</v>
      </c>
      <c r="O18" s="29" t="s">
        <v>47</v>
      </c>
      <c r="P18" s="33">
        <f t="shared" si="1"/>
        <v>0</v>
      </c>
      <c r="Q18" s="33">
        <f t="shared" si="2"/>
        <v>0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7"/>
        <v>419.88</v>
      </c>
      <c r="G19" s="9">
        <f t="shared" si="4"/>
        <v>2939.16</v>
      </c>
      <c r="H19" s="37">
        <v>2344.8000000000002</v>
      </c>
      <c r="I19" s="10">
        <v>0</v>
      </c>
      <c r="J19" s="10">
        <v>0</v>
      </c>
      <c r="K19" s="16">
        <v>853.6</v>
      </c>
      <c r="L19" s="19"/>
      <c r="M19" s="13">
        <f t="shared" si="6"/>
        <v>6801.5999999999995</v>
      </c>
      <c r="N19" s="14">
        <f t="shared" si="0"/>
        <v>9146.4</v>
      </c>
      <c r="O19" s="29" t="s">
        <v>50</v>
      </c>
      <c r="P19" s="33">
        <f t="shared" si="1"/>
        <v>680.16</v>
      </c>
      <c r="Q19" s="33">
        <f t="shared" si="2"/>
        <v>734.57280000000003</v>
      </c>
    </row>
    <row r="20" spans="1:17" x14ac:dyDescent="0.25">
      <c r="A20" s="5">
        <v>184</v>
      </c>
      <c r="B20" s="6" t="s">
        <v>29</v>
      </c>
      <c r="C20" s="7">
        <v>7000</v>
      </c>
      <c r="D20" s="7">
        <v>419.88</v>
      </c>
      <c r="E20" s="8">
        <f t="shared" si="3"/>
        <v>2519.2799999999997</v>
      </c>
      <c r="F20" s="8">
        <f t="shared" si="7"/>
        <v>419.88</v>
      </c>
      <c r="G20" s="9">
        <f t="shared" si="4"/>
        <v>2939.16</v>
      </c>
      <c r="H20" s="37">
        <v>3354.4</v>
      </c>
      <c r="I20" s="10">
        <v>375</v>
      </c>
      <c r="J20" s="10">
        <v>140</v>
      </c>
      <c r="K20" s="21"/>
      <c r="L20" s="19"/>
      <c r="M20" s="13">
        <f t="shared" si="6"/>
        <v>3130.6</v>
      </c>
      <c r="N20" s="14">
        <f t="shared" si="0"/>
        <v>6485</v>
      </c>
      <c r="O20" s="29" t="s">
        <v>47</v>
      </c>
      <c r="P20" s="33">
        <f t="shared" si="1"/>
        <v>313.06</v>
      </c>
      <c r="Q20" s="33">
        <f t="shared" si="2"/>
        <v>338.10480000000001</v>
      </c>
    </row>
    <row r="21" spans="1:17" x14ac:dyDescent="0.25">
      <c r="A21" s="42">
        <v>197</v>
      </c>
      <c r="B21" s="43" t="s">
        <v>30</v>
      </c>
      <c r="C21" s="44">
        <v>6250</v>
      </c>
      <c r="D21" s="44">
        <v>419.88</v>
      </c>
      <c r="E21" s="45">
        <f>D21*6</f>
        <v>2519.2799999999997</v>
      </c>
      <c r="F21" s="45">
        <f t="shared" si="7"/>
        <v>419.88</v>
      </c>
      <c r="G21" s="46">
        <f>E21+F21</f>
        <v>2939.16</v>
      </c>
      <c r="H21" s="47">
        <v>12886.8</v>
      </c>
      <c r="I21" s="48">
        <v>75</v>
      </c>
      <c r="J21" s="48">
        <v>0</v>
      </c>
      <c r="K21" s="49"/>
      <c r="L21" s="50"/>
      <c r="M21" s="51">
        <v>0</v>
      </c>
      <c r="N21" s="52">
        <f t="shared" si="0"/>
        <v>12886.8</v>
      </c>
      <c r="O21" s="53" t="s">
        <v>47</v>
      </c>
      <c r="P21" s="54">
        <f t="shared" si="1"/>
        <v>0</v>
      </c>
      <c r="Q21" s="54">
        <f t="shared" si="2"/>
        <v>0</v>
      </c>
    </row>
    <row r="22" spans="1:17" x14ac:dyDescent="0.25">
      <c r="A22" s="5">
        <v>199</v>
      </c>
      <c r="B22" s="6" t="s">
        <v>31</v>
      </c>
      <c r="C22" s="7">
        <v>4000</v>
      </c>
      <c r="D22" s="7">
        <v>419.88</v>
      </c>
      <c r="E22" s="8">
        <f t="shared" si="3"/>
        <v>2519.2799999999997</v>
      </c>
      <c r="F22" s="8">
        <f t="shared" si="7"/>
        <v>419.88</v>
      </c>
      <c r="G22" s="9">
        <f t="shared" si="4"/>
        <v>2939.16</v>
      </c>
      <c r="H22" s="37">
        <v>3354.4</v>
      </c>
      <c r="I22" s="10">
        <v>0</v>
      </c>
      <c r="J22" s="10">
        <v>0</v>
      </c>
      <c r="K22" s="16">
        <v>500</v>
      </c>
      <c r="L22" s="19"/>
      <c r="M22" s="13">
        <f t="shared" si="6"/>
        <v>145.59999999999991</v>
      </c>
      <c r="N22" s="14">
        <f t="shared" si="0"/>
        <v>3500</v>
      </c>
      <c r="O22" s="29" t="s">
        <v>47</v>
      </c>
      <c r="P22" s="33">
        <f t="shared" si="1"/>
        <v>14.559999999999992</v>
      </c>
      <c r="Q22" s="33">
        <f t="shared" si="2"/>
        <v>15.724799999999991</v>
      </c>
    </row>
    <row r="23" spans="1:17" x14ac:dyDescent="0.25">
      <c r="A23" s="5">
        <v>201</v>
      </c>
      <c r="B23" s="6" t="s">
        <v>32</v>
      </c>
      <c r="C23" s="7">
        <v>5000</v>
      </c>
      <c r="D23" s="7">
        <v>419.88</v>
      </c>
      <c r="E23" s="8">
        <f t="shared" si="3"/>
        <v>2519.2799999999997</v>
      </c>
      <c r="F23" s="8">
        <f t="shared" ref="F23:F39" si="8">$D$4</f>
        <v>419.88</v>
      </c>
      <c r="G23" s="9">
        <f t="shared" si="4"/>
        <v>2939.16</v>
      </c>
      <c r="H23" s="37">
        <v>3238.6</v>
      </c>
      <c r="I23" s="10">
        <v>150</v>
      </c>
      <c r="J23" s="10">
        <v>35</v>
      </c>
      <c r="K23" s="21">
        <v>314.29000000000002</v>
      </c>
      <c r="L23" s="19"/>
      <c r="M23" s="13">
        <f t="shared" si="6"/>
        <v>1262.1100000000001</v>
      </c>
      <c r="N23" s="14">
        <f t="shared" si="0"/>
        <v>4500.71</v>
      </c>
      <c r="O23" s="29" t="s">
        <v>47</v>
      </c>
      <c r="P23" s="33">
        <f t="shared" si="1"/>
        <v>126.21100000000001</v>
      </c>
      <c r="Q23" s="33">
        <f t="shared" si="2"/>
        <v>136.30788000000001</v>
      </c>
    </row>
    <row r="24" spans="1:17" ht="13.5" customHeight="1" x14ac:dyDescent="0.25">
      <c r="A24" s="5">
        <v>204</v>
      </c>
      <c r="B24" s="6" t="s">
        <v>33</v>
      </c>
      <c r="C24" s="7">
        <v>4000</v>
      </c>
      <c r="D24" s="7">
        <v>419.88</v>
      </c>
      <c r="E24" s="8">
        <f t="shared" si="3"/>
        <v>2519.2799999999997</v>
      </c>
      <c r="F24" s="8">
        <f t="shared" si="8"/>
        <v>419.88</v>
      </c>
      <c r="G24" s="9">
        <f t="shared" si="4"/>
        <v>2939.16</v>
      </c>
      <c r="H24" s="37">
        <v>3354.2</v>
      </c>
      <c r="I24" s="10">
        <v>75</v>
      </c>
      <c r="J24" s="10">
        <v>35</v>
      </c>
      <c r="K24" s="11"/>
      <c r="L24" s="19"/>
      <c r="M24" s="13">
        <f t="shared" si="6"/>
        <v>535.80000000000018</v>
      </c>
      <c r="N24" s="14">
        <f t="shared" si="0"/>
        <v>3890</v>
      </c>
      <c r="O24" s="29" t="s">
        <v>47</v>
      </c>
      <c r="P24" s="33">
        <f t="shared" si="1"/>
        <v>53.58000000000002</v>
      </c>
      <c r="Q24" s="33">
        <f t="shared" si="2"/>
        <v>57.866400000000027</v>
      </c>
    </row>
    <row r="25" spans="1:17" x14ac:dyDescent="0.25">
      <c r="A25" s="5">
        <v>213</v>
      </c>
      <c r="B25" s="6" t="s">
        <v>34</v>
      </c>
      <c r="C25" s="7">
        <v>3500</v>
      </c>
      <c r="D25" s="7">
        <v>419.88</v>
      </c>
      <c r="E25" s="8">
        <f t="shared" si="3"/>
        <v>2519.2799999999997</v>
      </c>
      <c r="F25" s="8">
        <f t="shared" si="8"/>
        <v>419.88</v>
      </c>
      <c r="G25" s="9">
        <f t="shared" si="4"/>
        <v>2939.16</v>
      </c>
      <c r="H25" s="37">
        <v>2848</v>
      </c>
      <c r="I25" s="10">
        <v>0</v>
      </c>
      <c r="J25" s="10">
        <v>0</v>
      </c>
      <c r="K25" s="16">
        <v>506.38</v>
      </c>
      <c r="L25" s="19"/>
      <c r="M25" s="13">
        <f t="shared" si="6"/>
        <v>145.62</v>
      </c>
      <c r="N25" s="14">
        <f t="shared" si="0"/>
        <v>2993.62</v>
      </c>
      <c r="O25" s="29" t="s">
        <v>50</v>
      </c>
      <c r="P25" s="33">
        <f t="shared" si="1"/>
        <v>14.562000000000001</v>
      </c>
      <c r="Q25" s="33">
        <f t="shared" si="2"/>
        <v>15.726960000000002</v>
      </c>
    </row>
    <row r="26" spans="1:17" x14ac:dyDescent="0.25">
      <c r="A26" s="5">
        <v>215</v>
      </c>
      <c r="B26" s="6" t="s">
        <v>35</v>
      </c>
      <c r="C26" s="7">
        <v>5000</v>
      </c>
      <c r="D26" s="7">
        <v>419.88</v>
      </c>
      <c r="E26" s="8">
        <f t="shared" si="3"/>
        <v>2519.2799999999997</v>
      </c>
      <c r="F26" s="8">
        <f t="shared" si="8"/>
        <v>419.88</v>
      </c>
      <c r="G26" s="9">
        <f t="shared" si="4"/>
        <v>2939.16</v>
      </c>
      <c r="H26" s="37">
        <v>3354.4</v>
      </c>
      <c r="I26" s="10">
        <v>225</v>
      </c>
      <c r="J26" s="10">
        <v>0</v>
      </c>
      <c r="K26" s="21"/>
      <c r="L26" s="19"/>
      <c r="M26" s="13">
        <f t="shared" si="6"/>
        <v>1420.6</v>
      </c>
      <c r="N26" s="14">
        <f t="shared" si="0"/>
        <v>4775</v>
      </c>
      <c r="O26" s="29" t="s">
        <v>47</v>
      </c>
      <c r="P26" s="33">
        <f t="shared" si="1"/>
        <v>142.06</v>
      </c>
      <c r="Q26" s="33">
        <f t="shared" si="2"/>
        <v>153.4248</v>
      </c>
    </row>
    <row r="27" spans="1:17" x14ac:dyDescent="0.25">
      <c r="A27" s="5">
        <v>218</v>
      </c>
      <c r="B27" s="6" t="s">
        <v>36</v>
      </c>
      <c r="C27" s="7">
        <v>3500</v>
      </c>
      <c r="D27" s="7">
        <v>419.88</v>
      </c>
      <c r="E27" s="8">
        <f t="shared" si="3"/>
        <v>2519.2799999999997</v>
      </c>
      <c r="F27" s="8">
        <f t="shared" si="8"/>
        <v>419.88</v>
      </c>
      <c r="G27" s="9">
        <f t="shared" si="4"/>
        <v>2939.16</v>
      </c>
      <c r="H27" s="37">
        <v>3354.4</v>
      </c>
      <c r="I27" s="10">
        <v>0</v>
      </c>
      <c r="J27" s="10">
        <v>0</v>
      </c>
      <c r="K27" s="21"/>
      <c r="L27" s="12"/>
      <c r="M27" s="13">
        <f t="shared" si="6"/>
        <v>145.59999999999991</v>
      </c>
      <c r="N27" s="14">
        <f t="shared" si="0"/>
        <v>3500</v>
      </c>
      <c r="O27" s="29" t="s">
        <v>49</v>
      </c>
      <c r="P27" s="33">
        <f t="shared" si="1"/>
        <v>14.559999999999992</v>
      </c>
      <c r="Q27" s="33">
        <f t="shared" si="2"/>
        <v>15.724799999999991</v>
      </c>
    </row>
    <row r="28" spans="1:17" x14ac:dyDescent="0.25">
      <c r="A28" s="5">
        <v>220</v>
      </c>
      <c r="B28" s="6" t="s">
        <v>37</v>
      </c>
      <c r="C28" s="7">
        <v>3500</v>
      </c>
      <c r="D28" s="7">
        <v>419.88</v>
      </c>
      <c r="E28" s="8">
        <f t="shared" si="3"/>
        <v>2519.2799999999997</v>
      </c>
      <c r="F28" s="8">
        <f t="shared" si="8"/>
        <v>419.88</v>
      </c>
      <c r="G28" s="9">
        <f t="shared" si="4"/>
        <v>2939.16</v>
      </c>
      <c r="H28" s="37">
        <v>2690.8</v>
      </c>
      <c r="I28" s="10">
        <v>375</v>
      </c>
      <c r="J28" s="10">
        <v>140.28</v>
      </c>
      <c r="K28" s="21">
        <v>293.92</v>
      </c>
      <c r="L28" s="12"/>
      <c r="M28" s="13">
        <f t="shared" si="6"/>
        <v>0</v>
      </c>
      <c r="N28" s="14">
        <f t="shared" si="0"/>
        <v>2690.8</v>
      </c>
      <c r="O28" s="29" t="s">
        <v>47</v>
      </c>
      <c r="P28" s="33">
        <f t="shared" si="1"/>
        <v>0</v>
      </c>
      <c r="Q28" s="33">
        <f t="shared" si="2"/>
        <v>0</v>
      </c>
    </row>
    <row r="29" spans="1:17" x14ac:dyDescent="0.25">
      <c r="A29" s="5">
        <v>221</v>
      </c>
      <c r="B29" s="6" t="s">
        <v>38</v>
      </c>
      <c r="C29" s="7">
        <v>4000</v>
      </c>
      <c r="D29" s="7">
        <v>419.88</v>
      </c>
      <c r="E29" s="8">
        <f t="shared" si="3"/>
        <v>2519.2799999999997</v>
      </c>
      <c r="F29" s="8">
        <f t="shared" si="8"/>
        <v>419.88</v>
      </c>
      <c r="G29" s="9">
        <f t="shared" si="4"/>
        <v>2939.16</v>
      </c>
      <c r="H29" s="37">
        <v>3354.2</v>
      </c>
      <c r="I29" s="10">
        <v>375</v>
      </c>
      <c r="J29" s="10">
        <v>105</v>
      </c>
      <c r="K29" s="21"/>
      <c r="L29" s="39"/>
      <c r="M29" s="13">
        <f t="shared" si="6"/>
        <v>165.80000000000018</v>
      </c>
      <c r="N29" s="14">
        <f t="shared" si="0"/>
        <v>3520</v>
      </c>
      <c r="O29" s="29" t="s">
        <v>47</v>
      </c>
      <c r="P29" s="33">
        <f t="shared" si="1"/>
        <v>16.58000000000002</v>
      </c>
      <c r="Q29" s="33">
        <f t="shared" si="2"/>
        <v>17.906400000000023</v>
      </c>
    </row>
    <row r="30" spans="1:17" x14ac:dyDescent="0.25">
      <c r="A30" s="5">
        <v>222</v>
      </c>
      <c r="B30" s="6" t="s">
        <v>39</v>
      </c>
      <c r="C30" s="7">
        <v>7000</v>
      </c>
      <c r="D30" s="7">
        <v>419.88</v>
      </c>
      <c r="E30" s="8">
        <f t="shared" si="3"/>
        <v>2519.2799999999997</v>
      </c>
      <c r="F30" s="8">
        <f t="shared" si="8"/>
        <v>419.88</v>
      </c>
      <c r="G30" s="9">
        <f t="shared" si="4"/>
        <v>2939.16</v>
      </c>
      <c r="H30" s="37">
        <v>3354.4</v>
      </c>
      <c r="I30" s="10">
        <v>300</v>
      </c>
      <c r="J30" s="10">
        <v>35</v>
      </c>
      <c r="K30" s="21"/>
      <c r="L30" s="19"/>
      <c r="M30" s="13">
        <f t="shared" si="6"/>
        <v>3310.6</v>
      </c>
      <c r="N30" s="14">
        <f t="shared" si="0"/>
        <v>6665</v>
      </c>
      <c r="O30" s="29" t="s">
        <v>47</v>
      </c>
      <c r="P30" s="33">
        <f t="shared" si="1"/>
        <v>331.06</v>
      </c>
      <c r="Q30" s="33">
        <f t="shared" si="2"/>
        <v>357.54480000000001</v>
      </c>
    </row>
    <row r="31" spans="1:17" x14ac:dyDescent="0.25">
      <c r="A31" s="5">
        <v>226</v>
      </c>
      <c r="B31" s="6" t="s">
        <v>40</v>
      </c>
      <c r="C31" s="7">
        <v>7500</v>
      </c>
      <c r="D31" s="7">
        <v>419.88</v>
      </c>
      <c r="E31" s="8">
        <f t="shared" si="3"/>
        <v>2519.2799999999997</v>
      </c>
      <c r="F31" s="8">
        <f t="shared" si="8"/>
        <v>419.88</v>
      </c>
      <c r="G31" s="9">
        <f t="shared" si="4"/>
        <v>2939.16</v>
      </c>
      <c r="H31" s="37">
        <v>3354.4</v>
      </c>
      <c r="I31" s="10">
        <v>225</v>
      </c>
      <c r="J31" s="10">
        <v>70</v>
      </c>
      <c r="K31" s="21"/>
      <c r="L31" s="12"/>
      <c r="M31" s="13">
        <f t="shared" si="6"/>
        <v>3850.6000000000004</v>
      </c>
      <c r="N31" s="14">
        <f t="shared" si="0"/>
        <v>7205</v>
      </c>
      <c r="O31" s="29" t="s">
        <v>47</v>
      </c>
      <c r="P31" s="33">
        <f t="shared" si="1"/>
        <v>385.06000000000006</v>
      </c>
      <c r="Q31" s="33">
        <f t="shared" si="2"/>
        <v>415.86480000000012</v>
      </c>
    </row>
    <row r="32" spans="1:17" x14ac:dyDescent="0.25">
      <c r="A32" s="5">
        <v>227</v>
      </c>
      <c r="B32" s="6" t="s">
        <v>41</v>
      </c>
      <c r="C32" s="7">
        <v>6000</v>
      </c>
      <c r="D32" s="7">
        <v>419.88</v>
      </c>
      <c r="E32" s="8">
        <f t="shared" si="3"/>
        <v>2519.2799999999997</v>
      </c>
      <c r="F32" s="8">
        <f t="shared" si="8"/>
        <v>419.88</v>
      </c>
      <c r="G32" s="9">
        <f t="shared" si="4"/>
        <v>2939.16</v>
      </c>
      <c r="H32" s="37">
        <v>3354.4</v>
      </c>
      <c r="I32" s="10">
        <v>150</v>
      </c>
      <c r="J32" s="10">
        <v>70</v>
      </c>
      <c r="K32" s="21"/>
      <c r="L32" s="12"/>
      <c r="M32" s="13">
        <f t="shared" si="6"/>
        <v>2425.6</v>
      </c>
      <c r="N32" s="14">
        <f t="shared" si="0"/>
        <v>5780</v>
      </c>
      <c r="O32" s="29" t="s">
        <v>47</v>
      </c>
      <c r="P32" s="33">
        <f t="shared" si="1"/>
        <v>242.56</v>
      </c>
      <c r="Q32" s="33">
        <f t="shared" si="2"/>
        <v>261.96480000000003</v>
      </c>
    </row>
    <row r="33" spans="1:17" x14ac:dyDescent="0.25">
      <c r="A33" s="5">
        <v>233</v>
      </c>
      <c r="B33" s="6" t="s">
        <v>42</v>
      </c>
      <c r="C33" s="7">
        <v>6250</v>
      </c>
      <c r="D33" s="7">
        <v>419.88</v>
      </c>
      <c r="E33" s="8">
        <f t="shared" si="3"/>
        <v>2519.2799999999997</v>
      </c>
      <c r="F33" s="8">
        <f t="shared" si="8"/>
        <v>419.88</v>
      </c>
      <c r="G33" s="9">
        <f t="shared" si="4"/>
        <v>2939.16</v>
      </c>
      <c r="H33" s="37">
        <v>3469.6</v>
      </c>
      <c r="I33" s="10">
        <v>0</v>
      </c>
      <c r="J33" s="10">
        <v>35</v>
      </c>
      <c r="K33" s="21"/>
      <c r="L33" s="19">
        <v>669.64</v>
      </c>
      <c r="M33" s="13">
        <f t="shared" si="6"/>
        <v>3415.04</v>
      </c>
      <c r="N33" s="14">
        <f t="shared" si="0"/>
        <v>6884.6399999999994</v>
      </c>
      <c r="O33" s="31" t="s">
        <v>47</v>
      </c>
      <c r="P33" s="33">
        <f t="shared" si="1"/>
        <v>341.50400000000002</v>
      </c>
      <c r="Q33" s="33">
        <f t="shared" si="2"/>
        <v>368.82432000000006</v>
      </c>
    </row>
    <row r="34" spans="1:17" x14ac:dyDescent="0.25">
      <c r="A34" s="5">
        <v>237</v>
      </c>
      <c r="B34" s="6" t="s">
        <v>43</v>
      </c>
      <c r="C34" s="7">
        <v>5000</v>
      </c>
      <c r="D34" s="7">
        <v>419.88</v>
      </c>
      <c r="E34" s="8">
        <f t="shared" si="3"/>
        <v>2519.2799999999997</v>
      </c>
      <c r="F34" s="8">
        <f t="shared" si="8"/>
        <v>419.88</v>
      </c>
      <c r="G34" s="9">
        <f t="shared" si="4"/>
        <v>2939.16</v>
      </c>
      <c r="H34" s="37">
        <v>2452</v>
      </c>
      <c r="I34" s="10">
        <v>150</v>
      </c>
      <c r="J34" s="10">
        <v>0</v>
      </c>
      <c r="K34" s="21"/>
      <c r="L34" s="19"/>
      <c r="M34" s="13">
        <f>C34-H34-I34+L34-K34-J34</f>
        <v>2398</v>
      </c>
      <c r="N34" s="14">
        <f>H34+M34</f>
        <v>4850</v>
      </c>
      <c r="O34" s="29" t="s">
        <v>47</v>
      </c>
      <c r="P34" s="33">
        <f>+M34*0.1</f>
        <v>239.8</v>
      </c>
      <c r="Q34" s="33">
        <f t="shared" si="2"/>
        <v>258.98400000000004</v>
      </c>
    </row>
    <row r="35" spans="1:17" x14ac:dyDescent="0.25">
      <c r="A35" s="5">
        <v>244</v>
      </c>
      <c r="B35" s="6" t="s">
        <v>44</v>
      </c>
      <c r="C35" s="7">
        <v>4000</v>
      </c>
      <c r="D35" s="7">
        <v>419.88</v>
      </c>
      <c r="E35" s="8">
        <f t="shared" si="3"/>
        <v>2519.2799999999997</v>
      </c>
      <c r="F35" s="8">
        <f t="shared" si="8"/>
        <v>419.88</v>
      </c>
      <c r="G35" s="9">
        <f t="shared" si="4"/>
        <v>2939.16</v>
      </c>
      <c r="H35" s="37">
        <v>3354.2</v>
      </c>
      <c r="I35" s="10">
        <v>150</v>
      </c>
      <c r="J35" s="10">
        <v>70</v>
      </c>
      <c r="K35" s="21"/>
      <c r="L35" s="12"/>
      <c r="M35" s="13">
        <f>C35-H35-I35+L35-K35-J35</f>
        <v>425.80000000000018</v>
      </c>
      <c r="N35" s="14">
        <f t="shared" si="0"/>
        <v>3780</v>
      </c>
      <c r="O35" s="29" t="s">
        <v>47</v>
      </c>
      <c r="P35" s="33">
        <f t="shared" si="1"/>
        <v>42.58000000000002</v>
      </c>
      <c r="Q35" s="33">
        <f t="shared" si="2"/>
        <v>45.986400000000025</v>
      </c>
    </row>
    <row r="36" spans="1:17" x14ac:dyDescent="0.25">
      <c r="A36" s="5">
        <v>245</v>
      </c>
      <c r="B36" s="6" t="s">
        <v>45</v>
      </c>
      <c r="C36" s="7">
        <v>5000</v>
      </c>
      <c r="D36" s="7">
        <v>419.88</v>
      </c>
      <c r="E36" s="8">
        <f t="shared" si="3"/>
        <v>2519.2799999999997</v>
      </c>
      <c r="F36" s="8">
        <f t="shared" si="8"/>
        <v>419.88</v>
      </c>
      <c r="G36" s="9">
        <f t="shared" si="4"/>
        <v>2939.16</v>
      </c>
      <c r="H36" s="37">
        <v>3354.2</v>
      </c>
      <c r="I36" s="10">
        <v>75</v>
      </c>
      <c r="J36" s="10">
        <v>0</v>
      </c>
      <c r="K36" s="21"/>
      <c r="L36" s="19"/>
      <c r="M36" s="13">
        <f t="shared" si="6"/>
        <v>1570.8000000000002</v>
      </c>
      <c r="N36" s="14">
        <f t="shared" si="0"/>
        <v>4925</v>
      </c>
      <c r="O36" s="34">
        <v>2</v>
      </c>
      <c r="P36" s="33">
        <f t="shared" si="1"/>
        <v>157.08000000000004</v>
      </c>
      <c r="Q36" s="33">
        <f t="shared" si="2"/>
        <v>169.64640000000006</v>
      </c>
    </row>
    <row r="37" spans="1:17" x14ac:dyDescent="0.25">
      <c r="A37" s="5">
        <v>252</v>
      </c>
      <c r="B37" s="6" t="s">
        <v>53</v>
      </c>
      <c r="C37" s="7">
        <v>4000</v>
      </c>
      <c r="D37" s="7">
        <v>419.88</v>
      </c>
      <c r="E37" s="8">
        <f t="shared" si="3"/>
        <v>2519.2799999999997</v>
      </c>
      <c r="F37" s="8">
        <f t="shared" si="8"/>
        <v>419.88</v>
      </c>
      <c r="G37" s="9">
        <f t="shared" si="4"/>
        <v>2939.16</v>
      </c>
      <c r="H37" s="37">
        <v>3354.4</v>
      </c>
      <c r="I37" s="10">
        <v>225</v>
      </c>
      <c r="J37" s="10">
        <v>35</v>
      </c>
      <c r="K37" s="21"/>
      <c r="L37" s="19"/>
      <c r="M37" s="13">
        <f t="shared" si="6"/>
        <v>385.59999999999991</v>
      </c>
      <c r="N37" s="14">
        <f t="shared" si="0"/>
        <v>3740</v>
      </c>
      <c r="O37" s="5" t="s">
        <v>47</v>
      </c>
      <c r="P37" s="33">
        <f t="shared" si="1"/>
        <v>38.559999999999995</v>
      </c>
      <c r="Q37" s="33">
        <f t="shared" si="2"/>
        <v>41.644799999999996</v>
      </c>
    </row>
    <row r="38" spans="1:17" x14ac:dyDescent="0.25">
      <c r="A38" s="5">
        <v>260</v>
      </c>
      <c r="B38" s="6" t="s">
        <v>54</v>
      </c>
      <c r="C38" s="7">
        <v>5000</v>
      </c>
      <c r="D38" s="7">
        <v>419.88</v>
      </c>
      <c r="E38" s="8">
        <f t="shared" si="3"/>
        <v>2519.2799999999997</v>
      </c>
      <c r="F38" s="8">
        <f t="shared" si="8"/>
        <v>419.88</v>
      </c>
      <c r="G38" s="9">
        <f t="shared" si="4"/>
        <v>2939.16</v>
      </c>
      <c r="H38" s="37">
        <v>3354.4</v>
      </c>
      <c r="I38" s="10">
        <v>0</v>
      </c>
      <c r="J38" s="10">
        <v>0</v>
      </c>
      <c r="K38" s="21"/>
      <c r="L38" s="19"/>
      <c r="M38" s="13">
        <f t="shared" si="6"/>
        <v>1645.6</v>
      </c>
      <c r="N38" s="14">
        <f t="shared" si="0"/>
        <v>5000</v>
      </c>
      <c r="O38" s="5" t="s">
        <v>47</v>
      </c>
      <c r="P38" s="33">
        <f t="shared" si="1"/>
        <v>164.56</v>
      </c>
      <c r="Q38" s="33">
        <f t="shared" si="2"/>
        <v>177.72480000000002</v>
      </c>
    </row>
    <row r="39" spans="1:17" x14ac:dyDescent="0.25">
      <c r="A39" s="5">
        <v>261</v>
      </c>
      <c r="B39" s="6" t="s">
        <v>55</v>
      </c>
      <c r="C39" s="7">
        <v>4000</v>
      </c>
      <c r="D39" s="7">
        <v>419.88</v>
      </c>
      <c r="E39" s="8">
        <f t="shared" si="3"/>
        <v>2519.2799999999997</v>
      </c>
      <c r="F39" s="8">
        <f t="shared" si="8"/>
        <v>419.88</v>
      </c>
      <c r="G39" s="9">
        <f t="shared" si="4"/>
        <v>2939.16</v>
      </c>
      <c r="H39" s="37">
        <v>2339.6</v>
      </c>
      <c r="I39" s="10">
        <v>225</v>
      </c>
      <c r="J39" s="10">
        <v>70</v>
      </c>
      <c r="K39" s="16">
        <v>944.31</v>
      </c>
      <c r="L39" s="19"/>
      <c r="M39" s="13">
        <f t="shared" si="6"/>
        <v>421.09000000000015</v>
      </c>
      <c r="N39" s="14">
        <f t="shared" si="0"/>
        <v>2760.69</v>
      </c>
      <c r="O39" s="5" t="s">
        <v>47</v>
      </c>
      <c r="P39" s="33">
        <f t="shared" si="1"/>
        <v>42.109000000000016</v>
      </c>
      <c r="Q39" s="33">
        <f t="shared" si="2"/>
        <v>45.477720000000019</v>
      </c>
    </row>
    <row r="40" spans="1:17" x14ac:dyDescent="0.25">
      <c r="A40" s="5">
        <v>267</v>
      </c>
      <c r="B40" s="6" t="s">
        <v>56</v>
      </c>
      <c r="C40" s="7">
        <v>5000</v>
      </c>
      <c r="D40" s="7">
        <v>419.88</v>
      </c>
      <c r="E40" s="8">
        <f t="shared" si="3"/>
        <v>2519.2799999999997</v>
      </c>
      <c r="F40" s="8">
        <f>$D$4</f>
        <v>419.88</v>
      </c>
      <c r="G40" s="9">
        <f t="shared" si="4"/>
        <v>2939.16</v>
      </c>
      <c r="H40" s="37">
        <v>2599</v>
      </c>
      <c r="I40" s="10">
        <v>300</v>
      </c>
      <c r="J40" s="10">
        <v>0</v>
      </c>
      <c r="K40" s="16">
        <f>450.66+294.59</f>
        <v>745.25</v>
      </c>
      <c r="L40" s="19"/>
      <c r="M40" s="13">
        <f t="shared" si="6"/>
        <v>1355.75</v>
      </c>
      <c r="N40" s="14">
        <f t="shared" si="0"/>
        <v>3954.75</v>
      </c>
      <c r="O40" s="5" t="s">
        <v>47</v>
      </c>
      <c r="P40" s="33">
        <f t="shared" si="1"/>
        <v>135.57500000000002</v>
      </c>
      <c r="Q40" s="33">
        <f t="shared" si="2"/>
        <v>146.42100000000002</v>
      </c>
    </row>
    <row r="41" spans="1:17" x14ac:dyDescent="0.25">
      <c r="A41" s="5">
        <v>268</v>
      </c>
      <c r="B41" s="6" t="s">
        <v>57</v>
      </c>
      <c r="C41" s="7">
        <v>4000</v>
      </c>
      <c r="D41" s="7">
        <v>419.88</v>
      </c>
      <c r="E41" s="8">
        <f t="shared" si="3"/>
        <v>2519.2799999999997</v>
      </c>
      <c r="F41" s="8">
        <f t="shared" ref="F41:F57" si="9">$D$4</f>
        <v>419.88</v>
      </c>
      <c r="G41" s="9">
        <f t="shared" si="4"/>
        <v>2939.16</v>
      </c>
      <c r="H41" s="37">
        <v>3354.2</v>
      </c>
      <c r="I41" s="10">
        <v>150</v>
      </c>
      <c r="J41" s="10">
        <v>0</v>
      </c>
      <c r="K41" s="11"/>
      <c r="L41" s="19"/>
      <c r="M41" s="13">
        <f t="shared" si="6"/>
        <v>495.80000000000018</v>
      </c>
      <c r="N41" s="14">
        <f t="shared" si="0"/>
        <v>3850</v>
      </c>
      <c r="O41" s="5" t="s">
        <v>47</v>
      </c>
      <c r="P41" s="33">
        <f t="shared" si="1"/>
        <v>49.58000000000002</v>
      </c>
      <c r="Q41" s="33">
        <f t="shared" si="2"/>
        <v>53.546400000000027</v>
      </c>
    </row>
    <row r="42" spans="1:17" x14ac:dyDescent="0.25">
      <c r="A42" s="5">
        <v>269</v>
      </c>
      <c r="B42" s="6" t="s">
        <v>58</v>
      </c>
      <c r="C42" s="7">
        <v>5000</v>
      </c>
      <c r="D42" s="7">
        <v>419.88</v>
      </c>
      <c r="E42" s="8">
        <f t="shared" si="3"/>
        <v>2519.2799999999997</v>
      </c>
      <c r="F42" s="8">
        <f t="shared" si="9"/>
        <v>419.88</v>
      </c>
      <c r="G42" s="9">
        <f t="shared" si="4"/>
        <v>2939.16</v>
      </c>
      <c r="H42" s="37">
        <v>3354.4</v>
      </c>
      <c r="I42" s="10">
        <v>225</v>
      </c>
      <c r="J42" s="10">
        <v>0</v>
      </c>
      <c r="K42" s="21"/>
      <c r="L42" s="19"/>
      <c r="M42" s="13">
        <f t="shared" si="6"/>
        <v>1420.6</v>
      </c>
      <c r="N42" s="14">
        <f t="shared" si="0"/>
        <v>4775</v>
      </c>
      <c r="O42" s="5" t="s">
        <v>47</v>
      </c>
      <c r="P42" s="33">
        <f t="shared" si="1"/>
        <v>142.06</v>
      </c>
      <c r="Q42" s="33">
        <f t="shared" si="2"/>
        <v>153.4248</v>
      </c>
    </row>
    <row r="43" spans="1:17" x14ac:dyDescent="0.25">
      <c r="A43" s="5">
        <v>271</v>
      </c>
      <c r="B43" s="6" t="s">
        <v>59</v>
      </c>
      <c r="C43" s="7">
        <v>3500</v>
      </c>
      <c r="D43" s="7">
        <v>419.88</v>
      </c>
      <c r="E43" s="8">
        <f t="shared" si="3"/>
        <v>2519.2799999999997</v>
      </c>
      <c r="F43" s="8">
        <f t="shared" si="9"/>
        <v>419.88</v>
      </c>
      <c r="G43" s="9">
        <f t="shared" si="4"/>
        <v>2939.16</v>
      </c>
      <c r="H43" s="37">
        <v>3200</v>
      </c>
      <c r="I43" s="10">
        <v>300</v>
      </c>
      <c r="J43" s="10">
        <v>0</v>
      </c>
      <c r="K43" s="21"/>
      <c r="L43" s="19"/>
      <c r="M43" s="13">
        <f t="shared" si="6"/>
        <v>0</v>
      </c>
      <c r="N43" s="14">
        <f t="shared" si="0"/>
        <v>3200</v>
      </c>
      <c r="O43" s="5" t="s">
        <v>47</v>
      </c>
      <c r="P43" s="33">
        <f t="shared" si="1"/>
        <v>0</v>
      </c>
      <c r="Q43" s="33">
        <f t="shared" si="2"/>
        <v>0</v>
      </c>
    </row>
    <row r="44" spans="1:17" x14ac:dyDescent="0.25">
      <c r="A44" s="5">
        <v>275</v>
      </c>
      <c r="B44" s="6" t="s">
        <v>60</v>
      </c>
      <c r="C44" s="7">
        <v>5000</v>
      </c>
      <c r="D44" s="7">
        <v>419.88</v>
      </c>
      <c r="E44" s="8">
        <f t="shared" si="3"/>
        <v>2519.2799999999997</v>
      </c>
      <c r="F44" s="8">
        <f t="shared" si="9"/>
        <v>419.88</v>
      </c>
      <c r="G44" s="9">
        <f t="shared" si="4"/>
        <v>2939.16</v>
      </c>
      <c r="H44" s="37">
        <v>3354.4</v>
      </c>
      <c r="I44" s="10">
        <v>0</v>
      </c>
      <c r="J44" s="10">
        <v>0</v>
      </c>
      <c r="K44" s="21"/>
      <c r="L44" s="19"/>
      <c r="M44" s="13">
        <f t="shared" si="6"/>
        <v>1645.6</v>
      </c>
      <c r="N44" s="14">
        <f t="shared" si="0"/>
        <v>5000</v>
      </c>
      <c r="O44" s="5" t="s">
        <v>47</v>
      </c>
      <c r="P44" s="33">
        <f t="shared" si="1"/>
        <v>164.56</v>
      </c>
      <c r="Q44" s="33">
        <f t="shared" si="2"/>
        <v>177.72480000000002</v>
      </c>
    </row>
    <row r="45" spans="1:17" x14ac:dyDescent="0.25">
      <c r="A45" s="5">
        <v>276</v>
      </c>
      <c r="B45" s="6" t="s">
        <v>61</v>
      </c>
      <c r="C45" s="7">
        <v>5000</v>
      </c>
      <c r="D45" s="7">
        <v>419.88</v>
      </c>
      <c r="E45" s="8">
        <f t="shared" si="3"/>
        <v>2519.2799999999997</v>
      </c>
      <c r="F45" s="8">
        <f t="shared" si="9"/>
        <v>419.88</v>
      </c>
      <c r="G45" s="9">
        <f t="shared" si="4"/>
        <v>2939.16</v>
      </c>
      <c r="H45" s="37">
        <v>3354.2</v>
      </c>
      <c r="I45" s="10">
        <v>375</v>
      </c>
      <c r="J45" s="10">
        <v>210</v>
      </c>
      <c r="K45" s="11"/>
      <c r="L45" s="19"/>
      <c r="M45" s="13">
        <f t="shared" si="6"/>
        <v>1060.8000000000002</v>
      </c>
      <c r="N45" s="14">
        <f t="shared" si="0"/>
        <v>4415</v>
      </c>
      <c r="O45" s="5" t="s">
        <v>47</v>
      </c>
      <c r="P45" s="33">
        <f t="shared" si="1"/>
        <v>106.08000000000003</v>
      </c>
      <c r="Q45" s="33">
        <f t="shared" si="2"/>
        <v>114.56640000000003</v>
      </c>
    </row>
    <row r="46" spans="1:17" x14ac:dyDescent="0.25">
      <c r="A46" s="5">
        <v>278</v>
      </c>
      <c r="B46" s="6" t="s">
        <v>62</v>
      </c>
      <c r="C46" s="7">
        <v>5000</v>
      </c>
      <c r="D46" s="7">
        <v>419.88</v>
      </c>
      <c r="E46" s="8">
        <f t="shared" si="3"/>
        <v>2519.2799999999997</v>
      </c>
      <c r="F46" s="8">
        <f t="shared" si="9"/>
        <v>419.88</v>
      </c>
      <c r="G46" s="9">
        <f t="shared" si="4"/>
        <v>2939.16</v>
      </c>
      <c r="H46" s="37">
        <v>2879</v>
      </c>
      <c r="I46" s="10">
        <v>75</v>
      </c>
      <c r="J46" s="10">
        <v>0</v>
      </c>
      <c r="K46" s="21">
        <v>587.84</v>
      </c>
      <c r="L46" s="19"/>
      <c r="M46" s="13">
        <f t="shared" si="6"/>
        <v>1458.1599999999999</v>
      </c>
      <c r="N46" s="14">
        <f t="shared" si="0"/>
        <v>4337.16</v>
      </c>
      <c r="O46" s="5" t="s">
        <v>47</v>
      </c>
      <c r="P46" s="33">
        <f t="shared" si="1"/>
        <v>145.816</v>
      </c>
      <c r="Q46" s="33">
        <f t="shared" si="2"/>
        <v>157.48128000000003</v>
      </c>
    </row>
    <row r="47" spans="1:17" x14ac:dyDescent="0.25">
      <c r="A47" s="5">
        <v>279</v>
      </c>
      <c r="B47" s="6" t="s">
        <v>63</v>
      </c>
      <c r="C47" s="7">
        <v>3500</v>
      </c>
      <c r="D47" s="7">
        <v>419.88</v>
      </c>
      <c r="E47" s="8">
        <f t="shared" si="3"/>
        <v>2519.2799999999997</v>
      </c>
      <c r="F47" s="8">
        <f t="shared" si="9"/>
        <v>419.88</v>
      </c>
      <c r="G47" s="9">
        <f t="shared" si="4"/>
        <v>2939.16</v>
      </c>
      <c r="H47" s="37">
        <v>3280</v>
      </c>
      <c r="I47" s="10">
        <v>150</v>
      </c>
      <c r="J47" s="10">
        <v>70</v>
      </c>
      <c r="K47" s="11"/>
      <c r="L47" s="19"/>
      <c r="M47" s="13">
        <f t="shared" si="6"/>
        <v>0</v>
      </c>
      <c r="N47" s="14">
        <f t="shared" si="0"/>
        <v>3280</v>
      </c>
      <c r="O47" s="5" t="s">
        <v>47</v>
      </c>
      <c r="P47" s="33">
        <f t="shared" si="1"/>
        <v>0</v>
      </c>
      <c r="Q47" s="33">
        <f t="shared" si="2"/>
        <v>0</v>
      </c>
    </row>
    <row r="48" spans="1:17" x14ac:dyDescent="0.25">
      <c r="A48" s="5">
        <v>280</v>
      </c>
      <c r="B48" s="6" t="s">
        <v>64</v>
      </c>
      <c r="C48" s="7">
        <v>5000</v>
      </c>
      <c r="D48" s="7">
        <v>419.88</v>
      </c>
      <c r="E48" s="8">
        <f t="shared" si="3"/>
        <v>2519.2799999999997</v>
      </c>
      <c r="F48" s="8">
        <f t="shared" si="9"/>
        <v>419.88</v>
      </c>
      <c r="G48" s="9">
        <f t="shared" si="4"/>
        <v>2939.16</v>
      </c>
      <c r="H48" s="37">
        <v>2879.2</v>
      </c>
      <c r="I48" s="10">
        <v>0</v>
      </c>
      <c r="J48" s="10">
        <v>0</v>
      </c>
      <c r="K48" s="11">
        <v>835.71</v>
      </c>
      <c r="L48" s="19"/>
      <c r="M48" s="13">
        <f t="shared" si="6"/>
        <v>1285.0900000000001</v>
      </c>
      <c r="N48" s="14">
        <f t="shared" si="0"/>
        <v>4164.29</v>
      </c>
      <c r="O48" s="5" t="s">
        <v>47</v>
      </c>
      <c r="P48" s="33">
        <f t="shared" si="1"/>
        <v>128.50900000000001</v>
      </c>
      <c r="Q48" s="33">
        <f t="shared" si="2"/>
        <v>138.78972000000002</v>
      </c>
    </row>
    <row r="49" spans="1:18" x14ac:dyDescent="0.25">
      <c r="A49" s="5">
        <v>281</v>
      </c>
      <c r="B49" s="6" t="s">
        <v>65</v>
      </c>
      <c r="C49" s="7">
        <v>8750</v>
      </c>
      <c r="D49" s="7">
        <v>419.88</v>
      </c>
      <c r="E49" s="8">
        <f t="shared" si="3"/>
        <v>2519.2799999999997</v>
      </c>
      <c r="F49" s="8">
        <f t="shared" si="9"/>
        <v>419.88</v>
      </c>
      <c r="G49" s="9">
        <f t="shared" si="4"/>
        <v>2939.16</v>
      </c>
      <c r="H49" s="37">
        <v>3354.4</v>
      </c>
      <c r="I49" s="10">
        <v>0</v>
      </c>
      <c r="J49" s="10">
        <v>0</v>
      </c>
      <c r="K49" s="11"/>
      <c r="L49" s="19"/>
      <c r="M49" s="13">
        <f t="shared" si="6"/>
        <v>5395.6</v>
      </c>
      <c r="N49" s="14">
        <f t="shared" si="0"/>
        <v>8750</v>
      </c>
      <c r="O49" s="5" t="s">
        <v>47</v>
      </c>
      <c r="P49" s="33">
        <f t="shared" si="1"/>
        <v>539.56000000000006</v>
      </c>
      <c r="Q49" s="33">
        <f t="shared" si="2"/>
        <v>582.72480000000007</v>
      </c>
    </row>
    <row r="50" spans="1:18" x14ac:dyDescent="0.25">
      <c r="A50" s="5">
        <v>283</v>
      </c>
      <c r="B50" s="6" t="s">
        <v>66</v>
      </c>
      <c r="C50" s="7">
        <v>5000</v>
      </c>
      <c r="D50" s="7">
        <v>419.88</v>
      </c>
      <c r="E50" s="8">
        <f t="shared" si="3"/>
        <v>2519.2799999999997</v>
      </c>
      <c r="F50" s="8">
        <f t="shared" si="9"/>
        <v>419.88</v>
      </c>
      <c r="G50" s="9">
        <f t="shared" si="4"/>
        <v>2939.16</v>
      </c>
      <c r="H50" s="37">
        <v>3354.2</v>
      </c>
      <c r="I50" s="10">
        <v>75</v>
      </c>
      <c r="J50" s="10">
        <v>35</v>
      </c>
      <c r="K50" s="11"/>
      <c r="L50" s="19"/>
      <c r="M50" s="13">
        <f t="shared" si="6"/>
        <v>1535.8000000000002</v>
      </c>
      <c r="N50" s="14">
        <f t="shared" si="0"/>
        <v>4890</v>
      </c>
      <c r="O50" s="5" t="s">
        <v>47</v>
      </c>
      <c r="P50" s="33">
        <f t="shared" si="1"/>
        <v>153.58000000000004</v>
      </c>
      <c r="Q50" s="33">
        <f t="shared" si="2"/>
        <v>165.86640000000006</v>
      </c>
    </row>
    <row r="51" spans="1:18" x14ac:dyDescent="0.25">
      <c r="A51" s="5">
        <v>284</v>
      </c>
      <c r="B51" s="6" t="s">
        <v>67</v>
      </c>
      <c r="C51" s="7">
        <v>4000</v>
      </c>
      <c r="D51" s="7">
        <v>419.88</v>
      </c>
      <c r="E51" s="8">
        <f t="shared" si="3"/>
        <v>2519.2799999999997</v>
      </c>
      <c r="F51" s="8">
        <f t="shared" si="9"/>
        <v>419.88</v>
      </c>
      <c r="G51" s="9">
        <f t="shared" si="4"/>
        <v>2939.16</v>
      </c>
      <c r="H51" s="37">
        <v>3354.2</v>
      </c>
      <c r="I51" s="10">
        <v>0</v>
      </c>
      <c r="J51" s="10">
        <v>0</v>
      </c>
      <c r="K51" s="11"/>
      <c r="L51" s="19"/>
      <c r="M51" s="13">
        <f t="shared" si="6"/>
        <v>645.80000000000018</v>
      </c>
      <c r="N51" s="14">
        <f t="shared" si="0"/>
        <v>4000</v>
      </c>
      <c r="O51" s="5" t="s">
        <v>47</v>
      </c>
      <c r="P51" s="33">
        <f t="shared" si="1"/>
        <v>64.580000000000027</v>
      </c>
      <c r="Q51" s="33">
        <f t="shared" si="2"/>
        <v>69.746400000000037</v>
      </c>
    </row>
    <row r="52" spans="1:18" x14ac:dyDescent="0.25">
      <c r="A52" s="5">
        <v>285</v>
      </c>
      <c r="B52" s="6" t="s">
        <v>68</v>
      </c>
      <c r="C52" s="7">
        <v>4000</v>
      </c>
      <c r="D52" s="7">
        <v>419.88</v>
      </c>
      <c r="E52" s="8">
        <f t="shared" si="3"/>
        <v>2519.2799999999997</v>
      </c>
      <c r="F52" s="8">
        <f t="shared" si="9"/>
        <v>419.88</v>
      </c>
      <c r="G52" s="9">
        <f t="shared" si="4"/>
        <v>2939.16</v>
      </c>
      <c r="H52" s="37">
        <v>3354.2</v>
      </c>
      <c r="I52" s="10">
        <v>0</v>
      </c>
      <c r="J52" s="10">
        <v>0</v>
      </c>
      <c r="K52" s="11"/>
      <c r="L52" s="19"/>
      <c r="M52" s="13">
        <f t="shared" si="6"/>
        <v>645.80000000000018</v>
      </c>
      <c r="N52" s="14">
        <f t="shared" si="0"/>
        <v>4000</v>
      </c>
      <c r="O52" s="5" t="s">
        <v>47</v>
      </c>
      <c r="P52" s="33">
        <f t="shared" si="1"/>
        <v>64.580000000000027</v>
      </c>
      <c r="Q52" s="33">
        <f t="shared" si="2"/>
        <v>69.746400000000037</v>
      </c>
    </row>
    <row r="53" spans="1:18" x14ac:dyDescent="0.25">
      <c r="A53" s="5">
        <v>286</v>
      </c>
      <c r="B53" s="6" t="s">
        <v>69</v>
      </c>
      <c r="C53" s="7">
        <v>4000</v>
      </c>
      <c r="D53" s="7">
        <v>419.88</v>
      </c>
      <c r="E53" s="8">
        <f>D53*6</f>
        <v>2519.2799999999997</v>
      </c>
      <c r="F53" s="8">
        <f t="shared" si="9"/>
        <v>419.88</v>
      </c>
      <c r="G53" s="9">
        <f>E53+F53</f>
        <v>2939.16</v>
      </c>
      <c r="H53" s="37">
        <v>3354.2</v>
      </c>
      <c r="I53" s="10">
        <v>375</v>
      </c>
      <c r="J53" s="10">
        <v>0</v>
      </c>
      <c r="K53" s="11"/>
      <c r="L53" s="19"/>
      <c r="M53" s="13">
        <f>C53-H53-I53+L53-K53-J53</f>
        <v>270.80000000000018</v>
      </c>
      <c r="N53" s="14">
        <f>H53+M53</f>
        <v>3625</v>
      </c>
      <c r="O53" s="5" t="s">
        <v>47</v>
      </c>
      <c r="P53" s="33">
        <f>+M53*0.1</f>
        <v>27.08000000000002</v>
      </c>
      <c r="Q53" s="33">
        <f>+P53*1.08</f>
        <v>29.246400000000023</v>
      </c>
    </row>
    <row r="54" spans="1:18" x14ac:dyDescent="0.25">
      <c r="A54" s="5">
        <v>287</v>
      </c>
      <c r="B54" s="6" t="s">
        <v>72</v>
      </c>
      <c r="C54" s="7">
        <v>5000</v>
      </c>
      <c r="D54" s="7">
        <v>419.88</v>
      </c>
      <c r="E54" s="8">
        <f>D54*6</f>
        <v>2519.2799999999997</v>
      </c>
      <c r="F54" s="8">
        <f t="shared" si="9"/>
        <v>419.88</v>
      </c>
      <c r="G54" s="9">
        <f>E54+F54</f>
        <v>2939.16</v>
      </c>
      <c r="H54" s="37">
        <v>3354.4</v>
      </c>
      <c r="I54" s="10">
        <v>300</v>
      </c>
      <c r="J54" s="10">
        <v>0</v>
      </c>
      <c r="K54" s="11"/>
      <c r="L54" s="19"/>
      <c r="M54" s="13">
        <f>C54-H54-I54+L54-K54-J54</f>
        <v>1345.6</v>
      </c>
      <c r="N54" s="14">
        <f>H54+M54</f>
        <v>4700</v>
      </c>
      <c r="O54" s="5" t="s">
        <v>47</v>
      </c>
      <c r="P54" s="33">
        <f>+M54*0.1</f>
        <v>134.56</v>
      </c>
      <c r="Q54" s="33">
        <f>+P54*1.08</f>
        <v>145.32480000000001</v>
      </c>
    </row>
    <row r="55" spans="1:18" x14ac:dyDescent="0.25">
      <c r="A55" s="5">
        <v>288</v>
      </c>
      <c r="B55" s="6" t="s">
        <v>73</v>
      </c>
      <c r="C55" s="7">
        <v>3500</v>
      </c>
      <c r="D55" s="7">
        <v>419.88</v>
      </c>
      <c r="E55" s="8">
        <f>D55*6</f>
        <v>2519.2799999999997</v>
      </c>
      <c r="F55" s="8">
        <f t="shared" si="9"/>
        <v>419.88</v>
      </c>
      <c r="G55" s="9">
        <f>E55+F55</f>
        <v>2939.16</v>
      </c>
      <c r="H55" s="37">
        <v>3354.4</v>
      </c>
      <c r="I55" s="10">
        <v>0</v>
      </c>
      <c r="J55" s="10">
        <v>0</v>
      </c>
      <c r="K55" s="11"/>
      <c r="L55" s="19"/>
      <c r="M55" s="13">
        <f>C55-H55-I55+L55-K55-J55</f>
        <v>145.59999999999991</v>
      </c>
      <c r="N55" s="14">
        <f>H55+M55</f>
        <v>3500</v>
      </c>
      <c r="O55" s="5" t="s">
        <v>47</v>
      </c>
      <c r="P55" s="33">
        <f>+M55*0.1</f>
        <v>14.559999999999992</v>
      </c>
      <c r="Q55" s="33">
        <f>+P55*1.08</f>
        <v>15.724799999999991</v>
      </c>
    </row>
    <row r="56" spans="1:18" x14ac:dyDescent="0.25">
      <c r="A56" s="5">
        <v>289</v>
      </c>
      <c r="B56" s="6" t="s">
        <v>74</v>
      </c>
      <c r="C56" s="7">
        <v>3500</v>
      </c>
      <c r="D56" s="7">
        <v>419.88</v>
      </c>
      <c r="E56" s="8">
        <f>D56*6</f>
        <v>2519.2799999999997</v>
      </c>
      <c r="F56" s="8">
        <f t="shared" si="9"/>
        <v>419.88</v>
      </c>
      <c r="G56" s="9">
        <f>E56+F56</f>
        <v>2939.16</v>
      </c>
      <c r="H56" s="37">
        <v>3354.4</v>
      </c>
      <c r="I56" s="10">
        <v>0</v>
      </c>
      <c r="J56" s="10">
        <v>0</v>
      </c>
      <c r="K56" s="11"/>
      <c r="L56" s="19"/>
      <c r="M56" s="13">
        <f>C56-H56-I56+L56-K56-J56</f>
        <v>145.59999999999991</v>
      </c>
      <c r="N56" s="14">
        <f>H56+M56</f>
        <v>3500</v>
      </c>
      <c r="O56" s="5" t="s">
        <v>47</v>
      </c>
      <c r="P56" s="33">
        <f>+M56*0.1</f>
        <v>14.559999999999992</v>
      </c>
      <c r="Q56" s="33">
        <f>+P56*1.08</f>
        <v>15.724799999999991</v>
      </c>
    </row>
    <row r="57" spans="1:18" x14ac:dyDescent="0.25">
      <c r="A57" s="5">
        <v>290</v>
      </c>
      <c r="B57" s="6" t="s">
        <v>75</v>
      </c>
      <c r="C57" s="7">
        <v>6250</v>
      </c>
      <c r="D57" s="7">
        <v>419.88</v>
      </c>
      <c r="E57" s="8">
        <f t="shared" si="3"/>
        <v>2519.2799999999997</v>
      </c>
      <c r="F57" s="8">
        <f t="shared" si="9"/>
        <v>419.88</v>
      </c>
      <c r="G57" s="9">
        <f t="shared" si="4"/>
        <v>2939.16</v>
      </c>
      <c r="H57" s="37">
        <v>2879</v>
      </c>
      <c r="I57" s="10">
        <v>0</v>
      </c>
      <c r="J57" s="10">
        <v>0</v>
      </c>
      <c r="K57" s="11">
        <v>1044.6400000000001</v>
      </c>
      <c r="L57" s="19"/>
      <c r="M57" s="13">
        <f t="shared" si="6"/>
        <v>2326.3599999999997</v>
      </c>
      <c r="N57" s="14">
        <f t="shared" si="0"/>
        <v>5205.3599999999997</v>
      </c>
      <c r="O57" s="5" t="s">
        <v>47</v>
      </c>
      <c r="P57" s="33">
        <f t="shared" si="1"/>
        <v>232.63599999999997</v>
      </c>
      <c r="Q57" s="33">
        <f t="shared" si="2"/>
        <v>251.24687999999998</v>
      </c>
    </row>
    <row r="58" spans="1:18" ht="16.149999999999999" customHeight="1" thickBot="1" x14ac:dyDescent="0.3"/>
    <row r="59" spans="1:18" ht="18" thickBot="1" x14ac:dyDescent="0.35">
      <c r="A59" s="23"/>
      <c r="B59" s="24"/>
      <c r="C59" s="25">
        <f t="shared" ref="C59:N59" si="10">SUM(C4:C58)</f>
        <v>265750</v>
      </c>
      <c r="D59" s="25">
        <f t="shared" si="10"/>
        <v>22673.52</v>
      </c>
      <c r="E59" s="25">
        <f t="shared" si="10"/>
        <v>136041.11999999997</v>
      </c>
      <c r="F59" s="25">
        <f t="shared" si="10"/>
        <v>22673.52</v>
      </c>
      <c r="G59" s="25">
        <f t="shared" si="10"/>
        <v>158714.64000000013</v>
      </c>
      <c r="H59" s="25">
        <f>SUM(H4:H58)</f>
        <v>181405.4</v>
      </c>
      <c r="I59" s="26">
        <f t="shared" si="10"/>
        <v>8175.46</v>
      </c>
      <c r="J59" s="26">
        <f t="shared" si="10"/>
        <v>1470.28</v>
      </c>
      <c r="K59" s="26">
        <f t="shared" si="10"/>
        <v>12783.89</v>
      </c>
      <c r="L59" s="27">
        <f t="shared" si="10"/>
        <v>1723.21</v>
      </c>
      <c r="M59" s="25">
        <f>SUM(M4:M58)</f>
        <v>70349.98000000001</v>
      </c>
      <c r="N59" s="25">
        <f t="shared" si="10"/>
        <v>251755.38</v>
      </c>
      <c r="P59" s="25">
        <f>SUM(P4:P58)</f>
        <v>7034.9980000000014</v>
      </c>
      <c r="Q59" s="25">
        <f>SUM(Q4:Q58)</f>
        <v>7597.7978399999993</v>
      </c>
      <c r="R59" s="55">
        <f>+N59+Q59</f>
        <v>259353.17784000002</v>
      </c>
    </row>
    <row r="60" spans="1:18" x14ac:dyDescent="0.25">
      <c r="H60" s="15"/>
      <c r="M60" s="15"/>
    </row>
    <row r="61" spans="1:18" x14ac:dyDescent="0.25">
      <c r="H61" s="15"/>
      <c r="I61">
        <f>+I59/75</f>
        <v>109.00613333333334</v>
      </c>
      <c r="J61" s="28">
        <f>SUM(J59)/35</f>
        <v>42.008000000000003</v>
      </c>
      <c r="R61" s="55">
        <v>12886.8</v>
      </c>
    </row>
    <row r="62" spans="1:18" x14ac:dyDescent="0.25">
      <c r="F62" s="15"/>
      <c r="H62" s="15">
        <f>H59+M59</f>
        <v>251755.38</v>
      </c>
      <c r="K62" s="15"/>
    </row>
    <row r="63" spans="1:18" x14ac:dyDescent="0.25">
      <c r="H63" s="15">
        <f>'[1]Nom 9'!$H$53</f>
        <v>131178.05999999994</v>
      </c>
      <c r="I63" s="40"/>
      <c r="J63" s="15"/>
    </row>
    <row r="64" spans="1:18" x14ac:dyDescent="0.25">
      <c r="H64" s="15">
        <f>[2]Rino!$H$8</f>
        <v>75398.810000000012</v>
      </c>
    </row>
    <row r="65" spans="8:8" x14ac:dyDescent="0.25">
      <c r="H65" s="15">
        <f>H63+H64</f>
        <v>206576.86999999994</v>
      </c>
    </row>
  </sheetData>
  <autoFilter ref="A3:Q57" xr:uid="{00000000-0009-0000-0000-000001000000}"/>
  <mergeCells count="2">
    <mergeCell ref="A1:N1"/>
    <mergeCell ref="A2:N2"/>
  </mergeCells>
  <pageMargins left="0.25" right="0.25" top="0.75" bottom="0.75" header="0.3" footer="0.3"/>
  <pageSetup scale="50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20">
    <pageSetUpPr fitToPage="1"/>
  </sheetPr>
  <dimension ref="A1:R69"/>
  <sheetViews>
    <sheetView showGridLines="0" topLeftCell="A38" zoomScaleNormal="100" workbookViewId="0">
      <selection activeCell="F33" sqref="F33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108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6" si="0">H4+M4</f>
        <v>0</v>
      </c>
      <c r="O4" s="81" t="s">
        <v>48</v>
      </c>
      <c r="P4" s="82">
        <f t="shared" ref="P4:P56" si="1">+M4*0.1</f>
        <v>0</v>
      </c>
      <c r="Q4" s="82">
        <f t="shared" ref="Q4:Q56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6" si="3">D5*6</f>
        <v>2519.2799999999997</v>
      </c>
      <c r="F5" s="8">
        <f t="shared" ref="F5:F56" si="4">$D$4</f>
        <v>419.88</v>
      </c>
      <c r="G5" s="9">
        <f t="shared" ref="G5:G56" si="5">E5+F5</f>
        <v>2939.16</v>
      </c>
      <c r="H5" s="37">
        <v>3354.2</v>
      </c>
      <c r="I5" s="10">
        <v>375</v>
      </c>
      <c r="J5" s="10">
        <v>0</v>
      </c>
      <c r="K5" s="11"/>
      <c r="L5" s="12"/>
      <c r="M5" s="13">
        <f>C5-H5-I5+L5-K5-J5</f>
        <v>270.80000000000018</v>
      </c>
      <c r="N5" s="14">
        <f t="shared" si="0"/>
        <v>3625</v>
      </c>
      <c r="O5" s="29" t="s">
        <v>47</v>
      </c>
      <c r="P5" s="33">
        <f t="shared" si="1"/>
        <v>27.08000000000002</v>
      </c>
      <c r="Q5" s="33">
        <f t="shared" si="2"/>
        <v>29.246400000000023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3354.2</v>
      </c>
      <c r="I6" s="18">
        <v>150</v>
      </c>
      <c r="J6" s="18">
        <v>0</v>
      </c>
      <c r="K6" s="12"/>
      <c r="L6" s="12"/>
      <c r="M6" s="13">
        <f t="shared" ref="M6:M53" si="6">C6-H6-I6+L6-K6-J6</f>
        <v>11495.8</v>
      </c>
      <c r="N6" s="14">
        <f t="shared" si="0"/>
        <v>14850</v>
      </c>
      <c r="O6" s="30" t="s">
        <v>47</v>
      </c>
      <c r="P6" s="33">
        <f t="shared" si="1"/>
        <v>1149.58</v>
      </c>
      <c r="Q6" s="33">
        <f t="shared" si="2"/>
        <v>1241.5463999999999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3354.2</v>
      </c>
      <c r="I7" s="10">
        <v>225</v>
      </c>
      <c r="J7" s="10">
        <v>70</v>
      </c>
      <c r="K7" s="21"/>
      <c r="L7" s="12"/>
      <c r="M7" s="13">
        <f t="shared" si="6"/>
        <v>350.80000000000018</v>
      </c>
      <c r="N7" s="14">
        <f t="shared" si="0"/>
        <v>3705</v>
      </c>
      <c r="O7" s="36" t="s">
        <v>47</v>
      </c>
      <c r="P7" s="33">
        <f t="shared" si="1"/>
        <v>35.08000000000002</v>
      </c>
      <c r="Q7" s="33">
        <f t="shared" si="2"/>
        <v>37.886400000000023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375</v>
      </c>
      <c r="J8" s="10">
        <v>70</v>
      </c>
      <c r="K8" s="11"/>
      <c r="L8" s="12"/>
      <c r="M8" s="13">
        <f t="shared" si="6"/>
        <v>700.59999999999991</v>
      </c>
      <c r="N8" s="14">
        <f t="shared" si="0"/>
        <v>4055</v>
      </c>
      <c r="O8" s="30" t="s">
        <v>47</v>
      </c>
      <c r="P8" s="33">
        <f t="shared" si="1"/>
        <v>70.059999999999988</v>
      </c>
      <c r="Q8" s="33">
        <f t="shared" si="2"/>
        <v>75.664799999999985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3354.2</v>
      </c>
      <c r="I9" s="10">
        <v>150</v>
      </c>
      <c r="J9" s="10">
        <v>105</v>
      </c>
      <c r="K9" s="11"/>
      <c r="L9" s="12"/>
      <c r="M9" s="22">
        <f>C9-H9-I9+L9-K9-J9</f>
        <v>390.80000000000018</v>
      </c>
      <c r="N9" s="14">
        <f t="shared" si="0"/>
        <v>3745</v>
      </c>
      <c r="O9" s="30" t="s">
        <v>47</v>
      </c>
      <c r="P9" s="33">
        <f t="shared" si="1"/>
        <v>39.08000000000002</v>
      </c>
      <c r="Q9" s="33">
        <f t="shared" si="2"/>
        <v>42.206400000000023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3354.4</v>
      </c>
      <c r="I10" s="10">
        <v>0</v>
      </c>
      <c r="J10" s="10">
        <v>0</v>
      </c>
      <c r="K10" s="20"/>
      <c r="L10" s="19"/>
      <c r="M10" s="13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3432.2</v>
      </c>
      <c r="I11" s="10">
        <v>150</v>
      </c>
      <c r="J11" s="10">
        <v>0</v>
      </c>
      <c r="K11" s="11"/>
      <c r="L11" s="12">
        <v>500</v>
      </c>
      <c r="M11" s="13">
        <f>C11-H11-I11+L11-K11-J11</f>
        <v>3917.8</v>
      </c>
      <c r="N11" s="14">
        <f t="shared" si="0"/>
        <v>7350</v>
      </c>
      <c r="O11" s="30" t="s">
        <v>47</v>
      </c>
      <c r="P11" s="33">
        <f t="shared" si="1"/>
        <v>391.78000000000003</v>
      </c>
      <c r="Q11" s="33">
        <f t="shared" si="2"/>
        <v>423.12240000000008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3354.4</v>
      </c>
      <c r="I12" s="10">
        <v>0</v>
      </c>
      <c r="J12" s="10">
        <v>70</v>
      </c>
      <c r="K12" s="11"/>
      <c r="L12" s="12"/>
      <c r="M12" s="13">
        <f>C12-H12-I12+L12-K12-J12</f>
        <v>1575.6</v>
      </c>
      <c r="N12" s="14">
        <f t="shared" si="0"/>
        <v>4930</v>
      </c>
      <c r="O12" s="30" t="s">
        <v>47</v>
      </c>
      <c r="P12" s="33">
        <f t="shared" si="1"/>
        <v>157.56</v>
      </c>
      <c r="Q12" s="33">
        <f t="shared" si="2"/>
        <v>170.16480000000001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3210</v>
      </c>
      <c r="I13" s="10">
        <v>150</v>
      </c>
      <c r="J13" s="10">
        <v>140</v>
      </c>
      <c r="K13" s="21"/>
      <c r="L13" s="12"/>
      <c r="M13" s="13">
        <f>C13-H13-I13+L13-K13-J13</f>
        <v>0</v>
      </c>
      <c r="N13" s="14">
        <f t="shared" si="0"/>
        <v>3210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2879.2</v>
      </c>
      <c r="I14" s="10">
        <v>225</v>
      </c>
      <c r="J14" s="10">
        <v>70</v>
      </c>
      <c r="K14" s="21">
        <v>587.84</v>
      </c>
      <c r="L14" s="12"/>
      <c r="M14" s="22">
        <f>C14-H14-I14+L14-K14-J14</f>
        <v>237.96000000000015</v>
      </c>
      <c r="N14" s="14">
        <f t="shared" si="0"/>
        <v>3117.16</v>
      </c>
      <c r="O14" s="36" t="s">
        <v>47</v>
      </c>
      <c r="P14" s="33">
        <f t="shared" si="1"/>
        <v>23.796000000000017</v>
      </c>
      <c r="Q14" s="33">
        <f t="shared" si="2"/>
        <v>25.699680000000019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>
        <v>0</v>
      </c>
      <c r="J15" s="10">
        <v>0</v>
      </c>
      <c r="K15" s="11"/>
      <c r="L15" s="12"/>
      <c r="M15" s="13">
        <f t="shared" si="6"/>
        <v>645.59999999999991</v>
      </c>
      <c r="N15" s="14">
        <f t="shared" si="0"/>
        <v>4000</v>
      </c>
      <c r="O15" s="30" t="s">
        <v>47</v>
      </c>
      <c r="P15" s="33">
        <f t="shared" si="1"/>
        <v>64.559999999999988</v>
      </c>
      <c r="Q15" s="33">
        <f t="shared" si="2"/>
        <v>69.724799999999988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3354.4</v>
      </c>
      <c r="I16" s="10">
        <v>375</v>
      </c>
      <c r="J16" s="10">
        <v>105</v>
      </c>
      <c r="K16" s="21"/>
      <c r="L16" s="12"/>
      <c r="M16" s="13">
        <f>C16-H16-I16+L16-K16-J16</f>
        <v>165.59999999999991</v>
      </c>
      <c r="N16" s="14">
        <f t="shared" si="0"/>
        <v>3520</v>
      </c>
      <c r="O16" s="29" t="s">
        <v>47</v>
      </c>
      <c r="P16" s="33">
        <f t="shared" si="1"/>
        <v>16.559999999999992</v>
      </c>
      <c r="Q16" s="33">
        <f t="shared" si="2"/>
        <v>17.884799999999991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3120.2</v>
      </c>
      <c r="I17" s="10">
        <v>0</v>
      </c>
      <c r="J17" s="10">
        <v>0</v>
      </c>
      <c r="K17" s="21">
        <v>293.92</v>
      </c>
      <c r="L17" s="19"/>
      <c r="M17" s="13">
        <f t="shared" si="6"/>
        <v>585.88000000000011</v>
      </c>
      <c r="N17" s="14">
        <f t="shared" si="0"/>
        <v>3706.08</v>
      </c>
      <c r="O17" s="29" t="s">
        <v>47</v>
      </c>
      <c r="P17" s="33">
        <f t="shared" si="1"/>
        <v>58.588000000000015</v>
      </c>
      <c r="Q17" s="33">
        <f t="shared" si="2"/>
        <v>63.275040000000018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2879</v>
      </c>
      <c r="I18" s="10">
        <v>375</v>
      </c>
      <c r="J18" s="10">
        <v>0</v>
      </c>
      <c r="K18" s="21">
        <v>587.84</v>
      </c>
      <c r="L18" s="12"/>
      <c r="M18" s="13">
        <f t="shared" si="6"/>
        <v>158.15999999999997</v>
      </c>
      <c r="N18" s="14">
        <f t="shared" si="0"/>
        <v>3037.16</v>
      </c>
      <c r="O18" s="29" t="s">
        <v>47</v>
      </c>
      <c r="P18" s="33">
        <f t="shared" si="1"/>
        <v>15.815999999999997</v>
      </c>
      <c r="Q18" s="33">
        <f t="shared" si="2"/>
        <v>17.08128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2376</v>
      </c>
      <c r="I19" s="10">
        <v>0</v>
      </c>
      <c r="J19" s="10">
        <v>0</v>
      </c>
      <c r="K19" s="16">
        <v>908.03</v>
      </c>
      <c r="L19" s="12"/>
      <c r="M19" s="13">
        <f t="shared" si="6"/>
        <v>6715.97</v>
      </c>
      <c r="N19" s="14">
        <f t="shared" si="0"/>
        <v>9091.9700000000012</v>
      </c>
      <c r="O19" s="29" t="s">
        <v>50</v>
      </c>
      <c r="P19" s="33">
        <f t="shared" si="1"/>
        <v>671.59700000000009</v>
      </c>
      <c r="Q19" s="33">
        <f t="shared" si="2"/>
        <v>725.3247600000002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3120.4</v>
      </c>
      <c r="I20" s="10">
        <v>375</v>
      </c>
      <c r="J20" s="10">
        <v>105</v>
      </c>
      <c r="K20" s="21">
        <v>293.92</v>
      </c>
      <c r="L20" s="19"/>
      <c r="M20" s="13">
        <f t="shared" si="6"/>
        <v>4105.68</v>
      </c>
      <c r="N20" s="14">
        <f t="shared" si="0"/>
        <v>7226.08</v>
      </c>
      <c r="O20" s="29" t="s">
        <v>47</v>
      </c>
      <c r="P20" s="33">
        <f t="shared" si="1"/>
        <v>410.56800000000004</v>
      </c>
      <c r="Q20" s="33">
        <f t="shared" si="2"/>
        <v>443.41344000000009</v>
      </c>
    </row>
    <row r="21" spans="1:17" s="55" customFormat="1" ht="13.5" customHeight="1" x14ac:dyDescent="0.25">
      <c r="A21" s="5">
        <v>204</v>
      </c>
      <c r="B21" s="6" t="s">
        <v>33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3354.2</v>
      </c>
      <c r="I21" s="10">
        <v>150</v>
      </c>
      <c r="J21" s="10">
        <v>140</v>
      </c>
      <c r="K21" s="11"/>
      <c r="L21" s="19"/>
      <c r="M21" s="13">
        <f t="shared" si="6"/>
        <v>355.80000000000018</v>
      </c>
      <c r="N21" s="14">
        <f t="shared" si="0"/>
        <v>3710</v>
      </c>
      <c r="O21" s="29" t="s">
        <v>47</v>
      </c>
      <c r="P21" s="33">
        <f t="shared" si="1"/>
        <v>35.58000000000002</v>
      </c>
      <c r="Q21" s="33">
        <f t="shared" si="2"/>
        <v>38.426400000000022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3432.2</v>
      </c>
      <c r="I22" s="10">
        <v>0</v>
      </c>
      <c r="J22" s="10">
        <v>0</v>
      </c>
      <c r="K22" s="11"/>
      <c r="L22" s="12">
        <v>285.70999999999998</v>
      </c>
      <c r="M22" s="13">
        <f t="shared" si="6"/>
        <v>853.51000000000022</v>
      </c>
      <c r="N22" s="14">
        <f t="shared" si="0"/>
        <v>4285.71</v>
      </c>
      <c r="O22" s="29" t="s">
        <v>50</v>
      </c>
      <c r="P22" s="33">
        <f t="shared" si="1"/>
        <v>85.351000000000028</v>
      </c>
      <c r="Q22" s="33">
        <f t="shared" si="2"/>
        <v>92.179080000000042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3120.2</v>
      </c>
      <c r="I23" s="10">
        <v>225</v>
      </c>
      <c r="J23" s="10">
        <v>35</v>
      </c>
      <c r="K23" s="21">
        <v>293.92</v>
      </c>
      <c r="L23" s="19"/>
      <c r="M23" s="13">
        <f t="shared" si="6"/>
        <v>1325.88</v>
      </c>
      <c r="N23" s="14">
        <f t="shared" si="0"/>
        <v>4446.08</v>
      </c>
      <c r="O23" s="29" t="s">
        <v>47</v>
      </c>
      <c r="P23" s="33">
        <f t="shared" si="1"/>
        <v>132.58800000000002</v>
      </c>
      <c r="Q23" s="33">
        <f t="shared" si="2"/>
        <v>143.19504000000003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3354.2</v>
      </c>
      <c r="I24" s="10">
        <v>0</v>
      </c>
      <c r="J24" s="10">
        <v>0</v>
      </c>
      <c r="K24" s="12"/>
      <c r="L24" s="12"/>
      <c r="M24" s="13">
        <f t="shared" si="6"/>
        <v>145.80000000000018</v>
      </c>
      <c r="N24" s="14">
        <f t="shared" si="0"/>
        <v>3500</v>
      </c>
      <c r="O24" s="29" t="s">
        <v>49</v>
      </c>
      <c r="P24" s="33">
        <f t="shared" si="1"/>
        <v>14.58000000000002</v>
      </c>
      <c r="Q24" s="33">
        <f t="shared" si="2"/>
        <v>15.746400000000023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3120.2</v>
      </c>
      <c r="I25" s="10">
        <v>375</v>
      </c>
      <c r="J25" s="10">
        <v>140</v>
      </c>
      <c r="K25" s="21">
        <v>293.92</v>
      </c>
      <c r="L25" s="12"/>
      <c r="M25" s="13">
        <f t="shared" si="6"/>
        <v>70.880000000000166</v>
      </c>
      <c r="N25" s="14">
        <f t="shared" si="0"/>
        <v>3191.08</v>
      </c>
      <c r="O25" s="36" t="s">
        <v>47</v>
      </c>
      <c r="P25" s="33">
        <f t="shared" si="1"/>
        <v>7.088000000000017</v>
      </c>
      <c r="Q25" s="33">
        <f t="shared" si="2"/>
        <v>7.6550400000000192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3354.4</v>
      </c>
      <c r="I26" s="10">
        <v>375</v>
      </c>
      <c r="J26" s="10">
        <v>140</v>
      </c>
      <c r="K26" s="21"/>
      <c r="L26" s="12"/>
      <c r="M26" s="13">
        <f t="shared" si="6"/>
        <v>1130.5999999999999</v>
      </c>
      <c r="N26" s="14">
        <f t="shared" si="0"/>
        <v>4485</v>
      </c>
      <c r="O26" s="29" t="s">
        <v>47</v>
      </c>
      <c r="P26" s="33">
        <f t="shared" si="1"/>
        <v>113.06</v>
      </c>
      <c r="Q26" s="33">
        <f t="shared" si="2"/>
        <v>122.10480000000001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3354.4</v>
      </c>
      <c r="I27" s="10">
        <v>375</v>
      </c>
      <c r="J27" s="10">
        <v>175</v>
      </c>
      <c r="K27" s="21"/>
      <c r="L27" s="19"/>
      <c r="M27" s="13">
        <f t="shared" si="6"/>
        <v>4095.6000000000004</v>
      </c>
      <c r="N27" s="14">
        <f t="shared" si="0"/>
        <v>7450</v>
      </c>
      <c r="O27" s="29" t="s">
        <v>47</v>
      </c>
      <c r="P27" s="33">
        <f t="shared" si="1"/>
        <v>409.56000000000006</v>
      </c>
      <c r="Q27" s="33">
        <f t="shared" si="2"/>
        <v>442.3248000000001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2879</v>
      </c>
      <c r="I28" s="10">
        <v>375</v>
      </c>
      <c r="J28" s="10">
        <v>70</v>
      </c>
      <c r="K28" s="21">
        <v>587.84</v>
      </c>
      <c r="L28" s="12"/>
      <c r="M28" s="13">
        <f t="shared" si="6"/>
        <v>2088.16</v>
      </c>
      <c r="N28" s="14">
        <f t="shared" si="0"/>
        <v>4967.16</v>
      </c>
      <c r="O28" s="29" t="s">
        <v>47</v>
      </c>
      <c r="P28" s="33">
        <f t="shared" si="1"/>
        <v>208.816</v>
      </c>
      <c r="Q28" s="33">
        <f t="shared" si="2"/>
        <v>225.52128000000002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375</v>
      </c>
      <c r="J29" s="10">
        <v>70</v>
      </c>
      <c r="K29" s="21"/>
      <c r="L29" s="12"/>
      <c r="M29" s="13">
        <f t="shared" si="6"/>
        <v>2450.6</v>
      </c>
      <c r="N29" s="14">
        <f t="shared" si="0"/>
        <v>5805</v>
      </c>
      <c r="O29" s="31" t="s">
        <v>47</v>
      </c>
      <c r="P29" s="33">
        <f t="shared" si="1"/>
        <v>245.06</v>
      </c>
      <c r="Q29" s="33">
        <f t="shared" si="2"/>
        <v>264.66480000000001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3354.4</v>
      </c>
      <c r="I30" s="10">
        <v>375</v>
      </c>
      <c r="J30" s="10">
        <v>105</v>
      </c>
      <c r="K30" s="11"/>
      <c r="L30" s="19"/>
      <c r="M30" s="13">
        <f>C30-H30-I30+L30-K30-J30</f>
        <v>1165.5999999999999</v>
      </c>
      <c r="N30" s="14">
        <f>H30+M30</f>
        <v>4520</v>
      </c>
      <c r="O30" s="29" t="s">
        <v>47</v>
      </c>
      <c r="P30" s="33">
        <f>+M30*0.1</f>
        <v>116.56</v>
      </c>
      <c r="Q30" s="33">
        <f t="shared" si="2"/>
        <v>125.88480000000001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3354.4</v>
      </c>
      <c r="I31" s="10">
        <v>300</v>
      </c>
      <c r="J31" s="10">
        <v>70</v>
      </c>
      <c r="K31" s="21"/>
      <c r="L31" s="12"/>
      <c r="M31" s="13">
        <f>C31-H31-I31+L31-K31-J31</f>
        <v>1275.5999999999999</v>
      </c>
      <c r="N31" s="14">
        <f t="shared" si="0"/>
        <v>4630</v>
      </c>
      <c r="O31" s="29" t="s">
        <v>47</v>
      </c>
      <c r="P31" s="33">
        <f t="shared" si="1"/>
        <v>127.56</v>
      </c>
      <c r="Q31" s="33">
        <f t="shared" si="2"/>
        <v>137.76480000000001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3354.2</v>
      </c>
      <c r="I32" s="10">
        <v>0</v>
      </c>
      <c r="J32" s="10">
        <v>0</v>
      </c>
      <c r="K32" s="11"/>
      <c r="L32" s="12"/>
      <c r="M32" s="13">
        <f t="shared" si="6"/>
        <v>1645.8000000000002</v>
      </c>
      <c r="N32" s="14">
        <f>H32+M32</f>
        <v>5000</v>
      </c>
      <c r="O32" s="34">
        <v>2</v>
      </c>
      <c r="P32" s="33">
        <f t="shared" si="1"/>
        <v>164.58000000000004</v>
      </c>
      <c r="Q32" s="33">
        <f t="shared" si="2"/>
        <v>177.74640000000005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2277.1999999999998</v>
      </c>
      <c r="I33" s="10">
        <v>300</v>
      </c>
      <c r="J33" s="10">
        <v>70</v>
      </c>
      <c r="K33" s="21">
        <v>1352.79</v>
      </c>
      <c r="L33" s="12"/>
      <c r="M33" s="98">
        <f>C33-H33-I33+L33-K33-J33-0.01</f>
        <v>2.1827852025868566E-13</v>
      </c>
      <c r="N33" s="14">
        <f t="shared" si="0"/>
        <v>2277.1999999999998</v>
      </c>
      <c r="O33" s="5" t="s">
        <v>47</v>
      </c>
      <c r="P33" s="33">
        <f t="shared" si="1"/>
        <v>2.1827852025868569E-14</v>
      </c>
      <c r="Q33" s="33">
        <f t="shared" si="2"/>
        <v>2.3574080187938056E-14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3354.4</v>
      </c>
      <c r="I34" s="10">
        <v>0</v>
      </c>
      <c r="J34" s="10">
        <v>0</v>
      </c>
      <c r="K34" s="11"/>
      <c r="L34" s="19"/>
      <c r="M34" s="13">
        <f t="shared" si="6"/>
        <v>1645.6</v>
      </c>
      <c r="N34" s="14">
        <f t="shared" si="0"/>
        <v>5000</v>
      </c>
      <c r="O34" s="5" t="s">
        <v>47</v>
      </c>
      <c r="P34" s="33">
        <f t="shared" si="1"/>
        <v>164.56</v>
      </c>
      <c r="Q34" s="33">
        <f t="shared" si="2"/>
        <v>177.72480000000002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2370.8000000000002</v>
      </c>
      <c r="I35" s="10">
        <v>300</v>
      </c>
      <c r="J35" s="10">
        <v>140</v>
      </c>
      <c r="K35" s="16">
        <v>913.35</v>
      </c>
      <c r="L35" s="19"/>
      <c r="M35" s="13">
        <f t="shared" si="6"/>
        <v>275.8499999999998</v>
      </c>
      <c r="N35" s="14">
        <f t="shared" si="0"/>
        <v>2646.65</v>
      </c>
      <c r="O35" s="5" t="s">
        <v>47</v>
      </c>
      <c r="P35" s="33">
        <f t="shared" si="1"/>
        <v>27.58499999999998</v>
      </c>
      <c r="Q35" s="33">
        <f t="shared" si="2"/>
        <v>29.791799999999981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2372.4</v>
      </c>
      <c r="I36" s="10">
        <v>375</v>
      </c>
      <c r="J36" s="10">
        <v>105</v>
      </c>
      <c r="K36" s="16">
        <v>1025.06</v>
      </c>
      <c r="L36" s="12"/>
      <c r="M36" s="13">
        <f t="shared" si="6"/>
        <v>1122.54</v>
      </c>
      <c r="N36" s="14">
        <f t="shared" si="0"/>
        <v>3494.94</v>
      </c>
      <c r="O36" s="5" t="s">
        <v>47</v>
      </c>
      <c r="P36" s="33">
        <f t="shared" si="1"/>
        <v>112.254</v>
      </c>
      <c r="Q36" s="33">
        <f t="shared" si="2"/>
        <v>121.23432000000001</v>
      </c>
    </row>
    <row r="37" spans="1:17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3354.4</v>
      </c>
      <c r="I37" s="10">
        <v>75</v>
      </c>
      <c r="J37" s="10">
        <v>0</v>
      </c>
      <c r="K37" s="11"/>
      <c r="L37" s="19"/>
      <c r="M37" s="13">
        <f t="shared" si="6"/>
        <v>570.59999999999991</v>
      </c>
      <c r="N37" s="14">
        <f t="shared" si="0"/>
        <v>3925</v>
      </c>
      <c r="O37" s="5" t="s">
        <v>47</v>
      </c>
      <c r="P37" s="33">
        <f t="shared" si="1"/>
        <v>57.059999999999995</v>
      </c>
      <c r="Q37" s="33">
        <f t="shared" si="2"/>
        <v>61.6248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3354.2</v>
      </c>
      <c r="I38" s="10">
        <v>225</v>
      </c>
      <c r="J38" s="10">
        <v>70</v>
      </c>
      <c r="K38" s="21"/>
      <c r="L38" s="19"/>
      <c r="M38" s="13">
        <f t="shared" si="6"/>
        <v>3350.8</v>
      </c>
      <c r="N38" s="14">
        <f>H38+M38</f>
        <v>6705</v>
      </c>
      <c r="O38" s="5" t="s">
        <v>47</v>
      </c>
      <c r="P38" s="33">
        <f t="shared" si="1"/>
        <v>335.08000000000004</v>
      </c>
      <c r="Q38" s="33">
        <f t="shared" si="2"/>
        <v>361.88640000000009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2691.2</v>
      </c>
      <c r="I39" s="10">
        <v>375</v>
      </c>
      <c r="J39" s="10">
        <v>140</v>
      </c>
      <c r="K39" s="21">
        <v>293.92</v>
      </c>
      <c r="L39" s="19"/>
      <c r="M39" s="98">
        <f>C39-H39-I39+L39-K39-J39+0.12</f>
        <v>1.659783421814609E-13</v>
      </c>
      <c r="N39" s="14">
        <f t="shared" si="0"/>
        <v>2691.2</v>
      </c>
      <c r="O39" s="5" t="s">
        <v>47</v>
      </c>
      <c r="P39" s="33">
        <f t="shared" si="1"/>
        <v>1.659783421814609E-14</v>
      </c>
      <c r="Q39" s="33">
        <f t="shared" si="2"/>
        <v>1.7925660955597778E-14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3354.2</v>
      </c>
      <c r="I40" s="10">
        <v>0</v>
      </c>
      <c r="J40" s="10">
        <v>0</v>
      </c>
      <c r="K40" s="21"/>
      <c r="L40" s="19"/>
      <c r="M40" s="22">
        <f>C40-H40-I40+L40-K40-J40</f>
        <v>20.800000000000182</v>
      </c>
      <c r="N40" s="14">
        <f t="shared" si="0"/>
        <v>3375</v>
      </c>
      <c r="O40" s="5" t="s">
        <v>47</v>
      </c>
      <c r="P40" s="33">
        <f t="shared" si="1"/>
        <v>2.0800000000000183</v>
      </c>
      <c r="Q40" s="33">
        <f t="shared" si="2"/>
        <v>2.2464000000000199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3354.2</v>
      </c>
      <c r="I41" s="10">
        <v>375</v>
      </c>
      <c r="J41" s="10">
        <v>105</v>
      </c>
      <c r="K41" s="11"/>
      <c r="L41" s="19"/>
      <c r="M41" s="13">
        <f t="shared" si="6"/>
        <v>1165.8000000000002</v>
      </c>
      <c r="N41" s="14">
        <f t="shared" si="0"/>
        <v>4520</v>
      </c>
      <c r="O41" s="5" t="s">
        <v>47</v>
      </c>
      <c r="P41" s="33">
        <f t="shared" si="1"/>
        <v>116.58000000000003</v>
      </c>
      <c r="Q41" s="33">
        <f t="shared" si="2"/>
        <v>125.90640000000003</v>
      </c>
    </row>
    <row r="42" spans="1:17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3354.4</v>
      </c>
      <c r="I42" s="10">
        <v>0</v>
      </c>
      <c r="J42" s="10">
        <v>0</v>
      </c>
      <c r="K42" s="21"/>
      <c r="L42" s="19"/>
      <c r="M42" s="22">
        <f>C42-H42-I42+L42-K42-J42</f>
        <v>145.59999999999991</v>
      </c>
      <c r="N42" s="14">
        <f t="shared" si="0"/>
        <v>3500</v>
      </c>
      <c r="O42" s="5" t="s">
        <v>47</v>
      </c>
      <c r="P42" s="33">
        <f t="shared" si="1"/>
        <v>14.559999999999992</v>
      </c>
      <c r="Q42" s="33">
        <f t="shared" si="2"/>
        <v>15.724799999999991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0</v>
      </c>
      <c r="J43" s="10">
        <v>0</v>
      </c>
      <c r="K43" s="11"/>
      <c r="L43" s="19"/>
      <c r="M43" s="13">
        <f t="shared" si="6"/>
        <v>1645.6</v>
      </c>
      <c r="N43" s="14">
        <f t="shared" si="0"/>
        <v>5000</v>
      </c>
      <c r="O43" s="5" t="s">
        <v>47</v>
      </c>
      <c r="P43" s="33">
        <f t="shared" si="1"/>
        <v>164.56</v>
      </c>
      <c r="Q43" s="33">
        <f t="shared" si="2"/>
        <v>177.72480000000002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3354.2</v>
      </c>
      <c r="I44" s="10">
        <v>0</v>
      </c>
      <c r="J44" s="10">
        <v>0</v>
      </c>
      <c r="K44" s="11"/>
      <c r="L44" s="19"/>
      <c r="M44" s="13">
        <f t="shared" si="6"/>
        <v>5395.8</v>
      </c>
      <c r="N44" s="14">
        <f t="shared" si="0"/>
        <v>8750</v>
      </c>
      <c r="O44" s="5" t="s">
        <v>47</v>
      </c>
      <c r="P44" s="33">
        <f t="shared" si="1"/>
        <v>539.58000000000004</v>
      </c>
      <c r="Q44" s="33">
        <f t="shared" si="2"/>
        <v>582.74640000000011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3120.4</v>
      </c>
      <c r="I45" s="10">
        <v>0</v>
      </c>
      <c r="J45" s="10">
        <v>0</v>
      </c>
      <c r="K45" s="21">
        <v>293.92</v>
      </c>
      <c r="L45" s="12"/>
      <c r="M45" s="13">
        <f t="shared" si="6"/>
        <v>1585.6799999999998</v>
      </c>
      <c r="N45" s="14">
        <f t="shared" si="0"/>
        <v>4706.08</v>
      </c>
      <c r="O45" s="5" t="s">
        <v>47</v>
      </c>
      <c r="P45" s="33">
        <f t="shared" si="1"/>
        <v>158.56799999999998</v>
      </c>
      <c r="Q45" s="33">
        <f t="shared" si="2"/>
        <v>171.25343999999998</v>
      </c>
    </row>
    <row r="46" spans="1:17" s="55" customFormat="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3354.4</v>
      </c>
      <c r="I46" s="10">
        <v>0</v>
      </c>
      <c r="J46" s="10">
        <v>0</v>
      </c>
      <c r="K46" s="11"/>
      <c r="L46" s="19"/>
      <c r="M46" s="13">
        <f t="shared" si="6"/>
        <v>645.59999999999991</v>
      </c>
      <c r="N46" s="14">
        <f t="shared" si="0"/>
        <v>4000</v>
      </c>
      <c r="O46" s="5" t="s">
        <v>47</v>
      </c>
      <c r="P46" s="33">
        <f t="shared" si="1"/>
        <v>64.559999999999988</v>
      </c>
      <c r="Q46" s="33">
        <f t="shared" si="2"/>
        <v>69.724799999999988</v>
      </c>
    </row>
    <row r="47" spans="1:17" s="55" customFormat="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>
        <v>0</v>
      </c>
      <c r="J47" s="10">
        <v>0</v>
      </c>
      <c r="K47" s="21"/>
      <c r="L47" s="12"/>
      <c r="M47" s="13">
        <f t="shared" si="6"/>
        <v>645.59999999999991</v>
      </c>
      <c r="N47" s="14">
        <f t="shared" si="0"/>
        <v>4000</v>
      </c>
      <c r="O47" s="5" t="s">
        <v>47</v>
      </c>
      <c r="P47" s="33">
        <f t="shared" si="1"/>
        <v>64.559999999999988</v>
      </c>
      <c r="Q47" s="33">
        <f t="shared" si="2"/>
        <v>69.724799999999988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>
        <v>375</v>
      </c>
      <c r="J48" s="10">
        <v>0</v>
      </c>
      <c r="K48" s="11"/>
      <c r="L48" s="19"/>
      <c r="M48" s="13">
        <f t="shared" si="6"/>
        <v>270.59999999999991</v>
      </c>
      <c r="N48" s="14">
        <f t="shared" si="0"/>
        <v>3625</v>
      </c>
      <c r="O48" s="5" t="s">
        <v>47</v>
      </c>
      <c r="P48" s="33">
        <f t="shared" si="1"/>
        <v>27.059999999999992</v>
      </c>
      <c r="Q48" s="33">
        <f t="shared" si="2"/>
        <v>29.224799999999991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>
        <v>300</v>
      </c>
      <c r="J49" s="10">
        <v>140</v>
      </c>
      <c r="K49" s="11"/>
      <c r="L49" s="19"/>
      <c r="M49" s="13">
        <f t="shared" si="6"/>
        <v>1205.8000000000002</v>
      </c>
      <c r="N49" s="14">
        <f t="shared" si="0"/>
        <v>4560</v>
      </c>
      <c r="O49" s="5" t="s">
        <v>47</v>
      </c>
      <c r="P49" s="33">
        <f t="shared" si="1"/>
        <v>120.58000000000003</v>
      </c>
      <c r="Q49" s="33">
        <f t="shared" si="2"/>
        <v>130.22640000000004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3354.2</v>
      </c>
      <c r="I50" s="10">
        <v>0</v>
      </c>
      <c r="J50" s="10">
        <v>0</v>
      </c>
      <c r="K50" s="11"/>
      <c r="L50" s="19">
        <v>1500</v>
      </c>
      <c r="M50" s="13">
        <f t="shared" si="6"/>
        <v>1645.8000000000002</v>
      </c>
      <c r="N50" s="14">
        <f t="shared" si="0"/>
        <v>5000</v>
      </c>
      <c r="O50" s="5" t="s">
        <v>47</v>
      </c>
      <c r="P50" s="33">
        <f t="shared" si="1"/>
        <v>164.58000000000004</v>
      </c>
      <c r="Q50" s="33">
        <f t="shared" si="2"/>
        <v>177.74640000000005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3354.2</v>
      </c>
      <c r="I51" s="10">
        <v>0</v>
      </c>
      <c r="J51" s="10">
        <v>0</v>
      </c>
      <c r="K51" s="11"/>
      <c r="L51" s="19"/>
      <c r="M51" s="13">
        <f t="shared" si="6"/>
        <v>145.80000000000018</v>
      </c>
      <c r="N51" s="14">
        <f t="shared" si="0"/>
        <v>3500</v>
      </c>
      <c r="O51" s="5" t="s">
        <v>47</v>
      </c>
      <c r="P51" s="33">
        <f t="shared" si="1"/>
        <v>14.58000000000002</v>
      </c>
      <c r="Q51" s="33">
        <f t="shared" si="2"/>
        <v>15.746400000000023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0</v>
      </c>
      <c r="J52" s="10">
        <v>35</v>
      </c>
      <c r="K52" s="11"/>
      <c r="L52" s="19"/>
      <c r="M52" s="13">
        <f t="shared" si="6"/>
        <v>860.59999999999991</v>
      </c>
      <c r="N52" s="14">
        <f t="shared" si="0"/>
        <v>4215</v>
      </c>
      <c r="O52" s="5" t="s">
        <v>47</v>
      </c>
      <c r="P52" s="33">
        <f t="shared" si="1"/>
        <v>86.06</v>
      </c>
      <c r="Q52" s="33">
        <f t="shared" si="2"/>
        <v>92.944800000000015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3354.2</v>
      </c>
      <c r="I53" s="10">
        <v>75</v>
      </c>
      <c r="J53" s="10">
        <v>0</v>
      </c>
      <c r="K53" s="11"/>
      <c r="L53" s="12"/>
      <c r="M53" s="13">
        <f t="shared" si="6"/>
        <v>570.80000000000018</v>
      </c>
      <c r="N53" s="14">
        <f t="shared" si="0"/>
        <v>3925</v>
      </c>
      <c r="O53" s="5" t="s">
        <v>47</v>
      </c>
      <c r="P53" s="33">
        <f t="shared" si="1"/>
        <v>57.08000000000002</v>
      </c>
      <c r="Q53" s="33">
        <f t="shared" si="2"/>
        <v>61.646400000000028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3354.2</v>
      </c>
      <c r="I54" s="10">
        <v>375</v>
      </c>
      <c r="J54" s="10">
        <v>105</v>
      </c>
      <c r="K54" s="11"/>
      <c r="L54" s="12"/>
      <c r="M54" s="22">
        <f>C54-H54-I54+L54-K54-J54+0.02</f>
        <v>165.82000000000019</v>
      </c>
      <c r="N54" s="14">
        <f t="shared" si="0"/>
        <v>3520.02</v>
      </c>
      <c r="O54" s="5" t="s">
        <v>47</v>
      </c>
      <c r="P54" s="33">
        <f t="shared" si="1"/>
        <v>16.582000000000019</v>
      </c>
      <c r="Q54" s="33">
        <f t="shared" si="2"/>
        <v>17.908560000000023</v>
      </c>
    </row>
    <row r="55" spans="1:18" x14ac:dyDescent="0.25">
      <c r="A55" s="5">
        <v>295</v>
      </c>
      <c r="B55" s="6" t="s">
        <v>104</v>
      </c>
      <c r="C55" s="7">
        <v>5500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375</v>
      </c>
      <c r="J55" s="10">
        <v>0</v>
      </c>
      <c r="K55" s="11"/>
      <c r="L55" s="12"/>
      <c r="M55" s="22">
        <f>C55-H55-I55+L55-K55-J55+0.02</f>
        <v>1770.62</v>
      </c>
      <c r="N55" s="14">
        <f t="shared" si="0"/>
        <v>5125.0200000000004</v>
      </c>
      <c r="O55" s="5" t="s">
        <v>47</v>
      </c>
      <c r="P55" s="33">
        <f t="shared" si="1"/>
        <v>177.06200000000001</v>
      </c>
      <c r="Q55" s="33">
        <f t="shared" si="2"/>
        <v>191.22696000000002</v>
      </c>
    </row>
    <row r="56" spans="1:18" x14ac:dyDescent="0.25">
      <c r="A56" s="5">
        <v>296</v>
      </c>
      <c r="B56" s="6" t="s">
        <v>107</v>
      </c>
      <c r="C56" s="7">
        <v>5000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3354.4</v>
      </c>
      <c r="I56" s="10">
        <v>0</v>
      </c>
      <c r="J56" s="10">
        <v>0</v>
      </c>
      <c r="K56" s="11"/>
      <c r="L56" s="12"/>
      <c r="M56" s="22">
        <f>C56-H56-I56+L56-K56-J56+0.02</f>
        <v>1645.62</v>
      </c>
      <c r="N56" s="14">
        <f t="shared" si="0"/>
        <v>5000.0200000000004</v>
      </c>
      <c r="O56" s="5" t="s">
        <v>47</v>
      </c>
      <c r="P56" s="33">
        <f t="shared" si="1"/>
        <v>164.56200000000001</v>
      </c>
      <c r="Q56" s="33">
        <f t="shared" si="2"/>
        <v>177.72696000000002</v>
      </c>
    </row>
    <row r="57" spans="1:18" ht="16.149999999999999" customHeight="1" thickBot="1" x14ac:dyDescent="0.3"/>
    <row r="58" spans="1:18" ht="18" thickBot="1" x14ac:dyDescent="0.35">
      <c r="A58" s="23"/>
      <c r="B58" s="24"/>
      <c r="C58" s="25">
        <f t="shared" ref="C58:N58" si="7">SUM(C4:C57)</f>
        <v>259625</v>
      </c>
      <c r="D58" s="25">
        <f t="shared" si="7"/>
        <v>22253.64</v>
      </c>
      <c r="E58" s="25">
        <f t="shared" si="7"/>
        <v>131002.55999999995</v>
      </c>
      <c r="F58" s="25">
        <f t="shared" si="7"/>
        <v>21833.759999999998</v>
      </c>
      <c r="G58" s="25">
        <f t="shared" si="7"/>
        <v>152836.32000000012</v>
      </c>
      <c r="H58" s="25">
        <f t="shared" si="7"/>
        <v>167155.79999999993</v>
      </c>
      <c r="I58" s="26">
        <f t="shared" si="7"/>
        <v>9375</v>
      </c>
      <c r="J58" s="26">
        <f t="shared" si="7"/>
        <v>2590</v>
      </c>
      <c r="K58" s="26">
        <f t="shared" si="7"/>
        <v>7726.27</v>
      </c>
      <c r="L58" s="27">
        <f t="shared" si="7"/>
        <v>2285.71</v>
      </c>
      <c r="M58" s="25">
        <f t="shared" si="7"/>
        <v>75063.810000000027</v>
      </c>
      <c r="N58" s="25">
        <f t="shared" si="7"/>
        <v>242219.61000000002</v>
      </c>
      <c r="P58" s="25">
        <f>SUM(P4:P57)</f>
        <v>7506.381000000004</v>
      </c>
      <c r="Q58" s="25">
        <f>SUM(Q4:Q57)</f>
        <v>8106.8914799999993</v>
      </c>
      <c r="R58" s="55">
        <f>+N58+Q58</f>
        <v>250326.50148000001</v>
      </c>
    </row>
    <row r="59" spans="1:18" x14ac:dyDescent="0.25">
      <c r="H59" s="15"/>
      <c r="M59" s="15"/>
    </row>
    <row r="60" spans="1:18" x14ac:dyDescent="0.25">
      <c r="H60" s="15"/>
      <c r="I60">
        <f>+I58/75</f>
        <v>125</v>
      </c>
      <c r="J60" s="28">
        <f>SUM(J58)/35</f>
        <v>74</v>
      </c>
      <c r="R60" s="55">
        <v>12886.8</v>
      </c>
    </row>
    <row r="61" spans="1:18" x14ac:dyDescent="0.25">
      <c r="F61" s="15"/>
      <c r="H61" s="15">
        <f>H58+M58</f>
        <v>242219.60999999996</v>
      </c>
      <c r="K61" s="15"/>
    </row>
    <row r="62" spans="1:18" x14ac:dyDescent="0.25">
      <c r="H62" s="15">
        <f>'[1]Nom 9'!$H$53</f>
        <v>131178.05999999994</v>
      </c>
      <c r="I62" s="40"/>
      <c r="J62" s="15"/>
    </row>
    <row r="63" spans="1:18" x14ac:dyDescent="0.25">
      <c r="H63" s="15">
        <f>[2]Rino!$H$8</f>
        <v>75398.810000000012</v>
      </c>
    </row>
    <row r="64" spans="1:18" x14ac:dyDescent="0.25">
      <c r="H64" s="15">
        <f>H62+H63</f>
        <v>206576.86999999994</v>
      </c>
    </row>
    <row r="69" spans="10:10" x14ac:dyDescent="0.25">
      <c r="J69" s="15" t="e">
        <f>(H58-#REF!-#REF!)+3354.4+2879</f>
        <v>#REF!</v>
      </c>
    </row>
  </sheetData>
  <autoFilter ref="A3:Q56" xr:uid="{00000000-0009-0000-0000-000013000000}"/>
  <mergeCells count="2">
    <mergeCell ref="A1:N1"/>
    <mergeCell ref="A2:N2"/>
  </mergeCells>
  <pageMargins left="0.25" right="0.25" top="0.75" bottom="0.75" header="0.3" footer="0.3"/>
  <pageSetup scale="48" fitToWidth="0" orientation="landscape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1">
    <pageSetUpPr fitToPage="1"/>
  </sheetPr>
  <dimension ref="A1:R70"/>
  <sheetViews>
    <sheetView showGridLines="0" topLeftCell="A23" zoomScaleNormal="100" workbookViewId="0">
      <selection activeCell="L50" sqref="L50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109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7" si="0">H4+M4</f>
        <v>0</v>
      </c>
      <c r="O4" s="81" t="s">
        <v>48</v>
      </c>
      <c r="P4" s="82">
        <f t="shared" ref="P4:P57" si="1">+M4*0.1</f>
        <v>0</v>
      </c>
      <c r="Q4" s="82">
        <f t="shared" ref="Q4:Q57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7" si="3">D5*6</f>
        <v>2519.2799999999997</v>
      </c>
      <c r="F5" s="8">
        <f t="shared" ref="F5:F57" si="4">$D$4</f>
        <v>419.88</v>
      </c>
      <c r="G5" s="9">
        <f t="shared" ref="G5:G57" si="5">E5+F5</f>
        <v>2939.16</v>
      </c>
      <c r="H5" s="37">
        <v>3354.4</v>
      </c>
      <c r="I5" s="10">
        <v>225</v>
      </c>
      <c r="J5" s="10">
        <v>0</v>
      </c>
      <c r="K5" s="11"/>
      <c r="L5" s="12"/>
      <c r="M5" s="13">
        <f>C5-H5-I5+L5-K5-J5</f>
        <v>420.59999999999991</v>
      </c>
      <c r="N5" s="14">
        <f t="shared" si="0"/>
        <v>3775</v>
      </c>
      <c r="O5" s="29" t="s">
        <v>47</v>
      </c>
      <c r="P5" s="33">
        <f t="shared" si="1"/>
        <v>42.059999999999995</v>
      </c>
      <c r="Q5" s="33">
        <f t="shared" si="2"/>
        <v>45.424799999999998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3354.4</v>
      </c>
      <c r="I6" s="18">
        <v>75</v>
      </c>
      <c r="J6" s="18">
        <v>105</v>
      </c>
      <c r="K6" s="21">
        <v>2849.16</v>
      </c>
      <c r="L6" s="12"/>
      <c r="M6" s="13">
        <f t="shared" ref="M6:M53" si="6">C6-H6-I6+L6-K6-J6</f>
        <v>8616.44</v>
      </c>
      <c r="N6" s="14">
        <f>H6+M6</f>
        <v>11970.84</v>
      </c>
      <c r="O6" s="30" t="s">
        <v>47</v>
      </c>
      <c r="P6" s="33">
        <f t="shared" si="1"/>
        <v>861.64400000000012</v>
      </c>
      <c r="Q6" s="33">
        <f t="shared" si="2"/>
        <v>930.57552000000021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3354.4</v>
      </c>
      <c r="I7" s="10">
        <v>75</v>
      </c>
      <c r="J7" s="10">
        <v>70</v>
      </c>
      <c r="K7" s="21"/>
      <c r="L7" s="12"/>
      <c r="M7" s="13">
        <f t="shared" si="6"/>
        <v>500.59999999999991</v>
      </c>
      <c r="N7" s="14">
        <f t="shared" si="0"/>
        <v>3855</v>
      </c>
      <c r="O7" s="36" t="s">
        <v>47</v>
      </c>
      <c r="P7" s="33">
        <f t="shared" si="1"/>
        <v>50.059999999999995</v>
      </c>
      <c r="Q7" s="33">
        <f t="shared" si="2"/>
        <v>54.064799999999998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3505.6</v>
      </c>
      <c r="I8" s="10">
        <v>375</v>
      </c>
      <c r="J8" s="10">
        <v>175</v>
      </c>
      <c r="K8" s="11"/>
      <c r="L8" s="12">
        <v>642.85</v>
      </c>
      <c r="M8" s="13">
        <f t="shared" si="6"/>
        <v>1087.25</v>
      </c>
      <c r="N8" s="14">
        <f t="shared" si="0"/>
        <v>4592.8500000000004</v>
      </c>
      <c r="O8" s="30" t="s">
        <v>47</v>
      </c>
      <c r="P8" s="33">
        <f t="shared" si="1"/>
        <v>108.72500000000001</v>
      </c>
      <c r="Q8" s="33">
        <f t="shared" si="2"/>
        <v>117.42300000000002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3354.4</v>
      </c>
      <c r="I9" s="10">
        <v>225</v>
      </c>
      <c r="J9" s="10">
        <v>140</v>
      </c>
      <c r="K9" s="11"/>
      <c r="L9" s="12">
        <v>5000</v>
      </c>
      <c r="M9" s="22">
        <f>C9-H9-I9+L9-K9-J9</f>
        <v>5280.6</v>
      </c>
      <c r="N9" s="14">
        <f t="shared" si="0"/>
        <v>8635</v>
      </c>
      <c r="O9" s="30" t="s">
        <v>47</v>
      </c>
      <c r="P9" s="33">
        <f t="shared" si="1"/>
        <v>528.06000000000006</v>
      </c>
      <c r="Q9" s="33">
        <f t="shared" si="2"/>
        <v>570.30480000000011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3354.2</v>
      </c>
      <c r="I10" s="10">
        <v>0</v>
      </c>
      <c r="J10" s="10">
        <v>0</v>
      </c>
      <c r="K10" s="20"/>
      <c r="L10" s="19"/>
      <c r="M10" s="13">
        <f t="shared" si="6"/>
        <v>645.80000000000018</v>
      </c>
      <c r="N10" s="14">
        <f t="shared" si="0"/>
        <v>4000</v>
      </c>
      <c r="O10" s="30" t="s">
        <v>49</v>
      </c>
      <c r="P10" s="33">
        <f t="shared" si="1"/>
        <v>64.580000000000027</v>
      </c>
      <c r="Q10" s="33">
        <f t="shared" si="2"/>
        <v>69.746400000000037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150</v>
      </c>
      <c r="J11" s="10">
        <v>105</v>
      </c>
      <c r="K11" s="11"/>
      <c r="L11" s="12"/>
      <c r="M11" s="13">
        <f>C11-H11-I11+L11-K11-J11</f>
        <v>3390.6</v>
      </c>
      <c r="N11" s="14">
        <f t="shared" si="0"/>
        <v>6745</v>
      </c>
      <c r="O11" s="30" t="s">
        <v>47</v>
      </c>
      <c r="P11" s="33">
        <f t="shared" si="1"/>
        <v>339.06</v>
      </c>
      <c r="Q11" s="33">
        <f t="shared" si="2"/>
        <v>366.18480000000005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3354.2</v>
      </c>
      <c r="I12" s="10">
        <v>225</v>
      </c>
      <c r="J12" s="10">
        <v>35</v>
      </c>
      <c r="K12" s="11"/>
      <c r="L12" s="12"/>
      <c r="M12" s="13">
        <f>C12-H12-I12+L12-K12-J12</f>
        <v>1385.8000000000002</v>
      </c>
      <c r="N12" s="14">
        <f t="shared" si="0"/>
        <v>4740</v>
      </c>
      <c r="O12" s="30" t="s">
        <v>47</v>
      </c>
      <c r="P12" s="33">
        <f t="shared" si="1"/>
        <v>138.58000000000001</v>
      </c>
      <c r="Q12" s="33">
        <f t="shared" si="2"/>
        <v>149.66640000000001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3170</v>
      </c>
      <c r="I13" s="10">
        <v>225</v>
      </c>
      <c r="J13" s="10">
        <v>105</v>
      </c>
      <c r="K13" s="21"/>
      <c r="L13" s="12"/>
      <c r="M13" s="13">
        <f>C13-H13-I13+L13-K13-J13</f>
        <v>0</v>
      </c>
      <c r="N13" s="14">
        <f t="shared" si="0"/>
        <v>3170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3193.8</v>
      </c>
      <c r="I14" s="10">
        <v>225</v>
      </c>
      <c r="J14" s="10">
        <v>70</v>
      </c>
      <c r="K14" s="21">
        <v>335.9</v>
      </c>
      <c r="L14" s="12">
        <v>428.57</v>
      </c>
      <c r="M14" s="22">
        <f>C14-H14-I14+L14-K14-J14</f>
        <v>603.86999999999978</v>
      </c>
      <c r="N14" s="14">
        <f t="shared" si="0"/>
        <v>3797.67</v>
      </c>
      <c r="O14" s="36" t="s">
        <v>47</v>
      </c>
      <c r="P14" s="33">
        <f t="shared" si="1"/>
        <v>60.386999999999979</v>
      </c>
      <c r="Q14" s="33">
        <f t="shared" si="2"/>
        <v>65.217959999999977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3238.6</v>
      </c>
      <c r="I15" s="10">
        <v>0</v>
      </c>
      <c r="J15" s="10">
        <v>0</v>
      </c>
      <c r="K15" s="21">
        <v>251.42</v>
      </c>
      <c r="L15" s="12"/>
      <c r="M15" s="13">
        <f t="shared" si="6"/>
        <v>509.98000000000013</v>
      </c>
      <c r="N15" s="14">
        <f t="shared" si="0"/>
        <v>3748.58</v>
      </c>
      <c r="O15" s="30" t="s">
        <v>47</v>
      </c>
      <c r="P15" s="33">
        <f t="shared" si="1"/>
        <v>50.998000000000019</v>
      </c>
      <c r="Q15" s="33">
        <f t="shared" si="2"/>
        <v>55.077840000000023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3120.4</v>
      </c>
      <c r="I16" s="10">
        <v>300</v>
      </c>
      <c r="J16" s="10">
        <v>140</v>
      </c>
      <c r="K16" s="21">
        <v>293.92</v>
      </c>
      <c r="L16" s="12"/>
      <c r="M16" s="13">
        <f>C16-H16-I16+L16-K16-J16</f>
        <v>145.67999999999989</v>
      </c>
      <c r="N16" s="14">
        <f t="shared" si="0"/>
        <v>3266.08</v>
      </c>
      <c r="O16" s="29" t="s">
        <v>47</v>
      </c>
      <c r="P16" s="33">
        <f t="shared" si="1"/>
        <v>14.567999999999991</v>
      </c>
      <c r="Q16" s="33">
        <f t="shared" si="2"/>
        <v>15.733439999999991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3354.4</v>
      </c>
      <c r="I17" s="10">
        <v>0</v>
      </c>
      <c r="J17" s="10">
        <v>0</v>
      </c>
      <c r="K17" s="21"/>
      <c r="L17" s="19"/>
      <c r="M17" s="13">
        <f t="shared" si="6"/>
        <v>645.59999999999991</v>
      </c>
      <c r="N17" s="14">
        <f t="shared" si="0"/>
        <v>4000</v>
      </c>
      <c r="O17" s="29" t="s">
        <v>47</v>
      </c>
      <c r="P17" s="33">
        <f t="shared" si="1"/>
        <v>64.559999999999988</v>
      </c>
      <c r="Q17" s="33">
        <f t="shared" si="2"/>
        <v>69.724799999999988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3120.2</v>
      </c>
      <c r="I18" s="10">
        <v>300</v>
      </c>
      <c r="J18" s="10">
        <v>35</v>
      </c>
      <c r="K18" s="21">
        <v>293.92</v>
      </c>
      <c r="L18" s="12"/>
      <c r="M18" s="13">
        <f t="shared" si="6"/>
        <v>250.88000000000017</v>
      </c>
      <c r="N18" s="14">
        <f t="shared" si="0"/>
        <v>3371.08</v>
      </c>
      <c r="O18" s="29" t="s">
        <v>47</v>
      </c>
      <c r="P18" s="33">
        <f t="shared" si="1"/>
        <v>25.088000000000019</v>
      </c>
      <c r="Q18" s="33">
        <f t="shared" si="2"/>
        <v>27.095040000000022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2376</v>
      </c>
      <c r="I19" s="10">
        <v>0</v>
      </c>
      <c r="J19" s="10">
        <v>0</v>
      </c>
      <c r="K19" s="16">
        <v>908.03</v>
      </c>
      <c r="L19" s="12"/>
      <c r="M19" s="13">
        <f t="shared" si="6"/>
        <v>6715.97</v>
      </c>
      <c r="N19" s="14">
        <f t="shared" si="0"/>
        <v>9091.9700000000012</v>
      </c>
      <c r="O19" s="29" t="s">
        <v>50</v>
      </c>
      <c r="P19" s="33">
        <f t="shared" si="1"/>
        <v>671.59700000000009</v>
      </c>
      <c r="Q19" s="33">
        <f t="shared" si="2"/>
        <v>725.3247600000002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3354.4</v>
      </c>
      <c r="I20" s="10">
        <v>375</v>
      </c>
      <c r="J20" s="10">
        <v>210</v>
      </c>
      <c r="K20" s="21"/>
      <c r="L20" s="19"/>
      <c r="M20" s="13">
        <f t="shared" si="6"/>
        <v>4060.6000000000004</v>
      </c>
      <c r="N20" s="14">
        <f t="shared" si="0"/>
        <v>7415</v>
      </c>
      <c r="O20" s="29" t="s">
        <v>47</v>
      </c>
      <c r="P20" s="33">
        <f t="shared" si="1"/>
        <v>406.06000000000006</v>
      </c>
      <c r="Q20" s="33">
        <f t="shared" si="2"/>
        <v>438.54480000000007</v>
      </c>
    </row>
    <row r="21" spans="1:17" s="55" customFormat="1" ht="13.5" customHeight="1" x14ac:dyDescent="0.25">
      <c r="A21" s="5">
        <v>204</v>
      </c>
      <c r="B21" s="6" t="s">
        <v>33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>
        <v>150</v>
      </c>
      <c r="J21" s="10">
        <v>70</v>
      </c>
      <c r="K21" s="11"/>
      <c r="L21" s="19"/>
      <c r="M21" s="13">
        <f t="shared" si="6"/>
        <v>425.59999999999991</v>
      </c>
      <c r="N21" s="14">
        <f t="shared" si="0"/>
        <v>3780</v>
      </c>
      <c r="O21" s="29" t="s">
        <v>47</v>
      </c>
      <c r="P21" s="33">
        <f t="shared" si="1"/>
        <v>42.559999999999995</v>
      </c>
      <c r="Q21" s="33">
        <f t="shared" si="2"/>
        <v>45.964799999999997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0</v>
      </c>
      <c r="J22" s="10">
        <v>0</v>
      </c>
      <c r="K22" s="11"/>
      <c r="L22" s="12"/>
      <c r="M22" s="13">
        <f t="shared" si="6"/>
        <v>645.59999999999991</v>
      </c>
      <c r="N22" s="14">
        <f t="shared" si="0"/>
        <v>4000</v>
      </c>
      <c r="O22" s="29" t="s">
        <v>50</v>
      </c>
      <c r="P22" s="33">
        <f t="shared" si="1"/>
        <v>64.559999999999988</v>
      </c>
      <c r="Q22" s="33">
        <f t="shared" si="2"/>
        <v>69.724799999999988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3354.4</v>
      </c>
      <c r="I23" s="10">
        <v>225</v>
      </c>
      <c r="J23" s="10">
        <v>140</v>
      </c>
      <c r="K23" s="21"/>
      <c r="L23" s="19"/>
      <c r="M23" s="13">
        <f t="shared" si="6"/>
        <v>1280.5999999999999</v>
      </c>
      <c r="N23" s="14">
        <f t="shared" si="0"/>
        <v>4635</v>
      </c>
      <c r="O23" s="29" t="s">
        <v>47</v>
      </c>
      <c r="P23" s="33">
        <f t="shared" si="1"/>
        <v>128.06</v>
      </c>
      <c r="Q23" s="33">
        <f t="shared" si="2"/>
        <v>138.3048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3354.4</v>
      </c>
      <c r="I24" s="10">
        <v>0</v>
      </c>
      <c r="J24" s="10">
        <v>0</v>
      </c>
      <c r="K24" s="12"/>
      <c r="L24" s="12"/>
      <c r="M24" s="13">
        <f t="shared" si="6"/>
        <v>145.59999999999991</v>
      </c>
      <c r="N24" s="14">
        <f t="shared" si="0"/>
        <v>3500</v>
      </c>
      <c r="O24" s="29" t="s">
        <v>49</v>
      </c>
      <c r="P24" s="33">
        <f t="shared" si="1"/>
        <v>14.559999999999992</v>
      </c>
      <c r="Q24" s="33">
        <f t="shared" si="2"/>
        <v>15.724799999999991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3354.4</v>
      </c>
      <c r="I25" s="10">
        <v>375</v>
      </c>
      <c r="J25" s="10">
        <v>210</v>
      </c>
      <c r="K25" s="21"/>
      <c r="L25" s="12"/>
      <c r="M25" s="13">
        <f t="shared" si="6"/>
        <v>60.599999999999909</v>
      </c>
      <c r="N25" s="14">
        <f t="shared" si="0"/>
        <v>3415</v>
      </c>
      <c r="O25" s="36" t="s">
        <v>47</v>
      </c>
      <c r="P25" s="33">
        <f t="shared" si="1"/>
        <v>6.0599999999999916</v>
      </c>
      <c r="Q25" s="33">
        <f t="shared" si="2"/>
        <v>6.5447999999999915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3354.4</v>
      </c>
      <c r="I26" s="10">
        <v>375</v>
      </c>
      <c r="J26" s="10">
        <v>175</v>
      </c>
      <c r="K26" s="21"/>
      <c r="L26" s="12"/>
      <c r="M26" s="13">
        <f t="shared" si="6"/>
        <v>1095.5999999999999</v>
      </c>
      <c r="N26" s="14">
        <f t="shared" si="0"/>
        <v>4450</v>
      </c>
      <c r="O26" s="29" t="s">
        <v>47</v>
      </c>
      <c r="P26" s="33">
        <f t="shared" si="1"/>
        <v>109.56</v>
      </c>
      <c r="Q26" s="33">
        <f t="shared" si="2"/>
        <v>118.32480000000001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3354.2</v>
      </c>
      <c r="I27" s="10">
        <v>300</v>
      </c>
      <c r="J27" s="10">
        <v>175</v>
      </c>
      <c r="K27" s="21"/>
      <c r="L27" s="19"/>
      <c r="M27" s="13">
        <f t="shared" si="6"/>
        <v>4170.8</v>
      </c>
      <c r="N27" s="14">
        <f t="shared" si="0"/>
        <v>7525</v>
      </c>
      <c r="O27" s="29" t="s">
        <v>47</v>
      </c>
      <c r="P27" s="33">
        <f t="shared" si="1"/>
        <v>417.08000000000004</v>
      </c>
      <c r="Q27" s="33">
        <f t="shared" si="2"/>
        <v>450.4464000000001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2879.2</v>
      </c>
      <c r="I28" s="10">
        <v>375</v>
      </c>
      <c r="J28" s="10">
        <v>175</v>
      </c>
      <c r="K28" s="21">
        <v>587.84</v>
      </c>
      <c r="L28" s="12"/>
      <c r="M28" s="13">
        <f t="shared" si="6"/>
        <v>1982.96</v>
      </c>
      <c r="N28" s="14">
        <f t="shared" si="0"/>
        <v>4862.16</v>
      </c>
      <c r="O28" s="29" t="s">
        <v>47</v>
      </c>
      <c r="P28" s="33">
        <f t="shared" si="1"/>
        <v>198.29600000000002</v>
      </c>
      <c r="Q28" s="33">
        <f t="shared" si="2"/>
        <v>214.15968000000004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3354.2</v>
      </c>
      <c r="I29" s="10">
        <v>300</v>
      </c>
      <c r="J29" s="10">
        <v>105</v>
      </c>
      <c r="K29" s="21"/>
      <c r="L29" s="12"/>
      <c r="M29" s="13">
        <f t="shared" si="6"/>
        <v>2490.8000000000002</v>
      </c>
      <c r="N29" s="14">
        <f t="shared" si="0"/>
        <v>5845</v>
      </c>
      <c r="O29" s="31" t="s">
        <v>47</v>
      </c>
      <c r="P29" s="33">
        <f t="shared" si="1"/>
        <v>249.08000000000004</v>
      </c>
      <c r="Q29" s="33">
        <f t="shared" si="2"/>
        <v>269.00640000000004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3354.4</v>
      </c>
      <c r="I30" s="10">
        <v>375</v>
      </c>
      <c r="J30" s="10">
        <v>105</v>
      </c>
      <c r="K30" s="11"/>
      <c r="L30" s="19"/>
      <c r="M30" s="13">
        <f>C30-H30-I30+L30-K30-J30</f>
        <v>1165.5999999999999</v>
      </c>
      <c r="N30" s="14">
        <f>H30+M30</f>
        <v>4520</v>
      </c>
      <c r="O30" s="29" t="s">
        <v>47</v>
      </c>
      <c r="P30" s="33">
        <f>+M30*0.1</f>
        <v>116.56</v>
      </c>
      <c r="Q30" s="33">
        <f t="shared" si="2"/>
        <v>125.88480000000001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3354.2</v>
      </c>
      <c r="I31" s="10">
        <v>0</v>
      </c>
      <c r="J31" s="10">
        <v>0</v>
      </c>
      <c r="K31" s="21"/>
      <c r="L31" s="12"/>
      <c r="M31" s="13">
        <f>C31-H31-I31+L31-K31-J31</f>
        <v>1645.8000000000002</v>
      </c>
      <c r="N31" s="14">
        <f t="shared" si="0"/>
        <v>5000</v>
      </c>
      <c r="O31" s="29" t="s">
        <v>47</v>
      </c>
      <c r="P31" s="33">
        <f t="shared" si="1"/>
        <v>164.58000000000004</v>
      </c>
      <c r="Q31" s="33">
        <f t="shared" si="2"/>
        <v>177.74640000000005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0</v>
      </c>
      <c r="J32" s="10">
        <v>0</v>
      </c>
      <c r="K32" s="11"/>
      <c r="L32" s="12"/>
      <c r="M32" s="13">
        <f t="shared" si="6"/>
        <v>1645.6</v>
      </c>
      <c r="N32" s="14">
        <f>H32+M32</f>
        <v>5000</v>
      </c>
      <c r="O32" s="34">
        <v>2</v>
      </c>
      <c r="P32" s="33">
        <f t="shared" si="1"/>
        <v>164.56</v>
      </c>
      <c r="Q32" s="33">
        <f t="shared" si="2"/>
        <v>177.72480000000002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3354.4</v>
      </c>
      <c r="I33" s="10">
        <v>300</v>
      </c>
      <c r="J33" s="10">
        <v>105</v>
      </c>
      <c r="K33" s="21"/>
      <c r="L33" s="12"/>
      <c r="M33" s="22">
        <f>C33-H33-I33+L33-K33-J33</f>
        <v>240.59999999999991</v>
      </c>
      <c r="N33" s="14">
        <f t="shared" si="0"/>
        <v>3595</v>
      </c>
      <c r="O33" s="5" t="s">
        <v>47</v>
      </c>
      <c r="P33" s="33">
        <f t="shared" si="1"/>
        <v>24.059999999999992</v>
      </c>
      <c r="Q33" s="33">
        <f t="shared" si="2"/>
        <v>25.984799999999993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3354.4</v>
      </c>
      <c r="I34" s="10">
        <v>0</v>
      </c>
      <c r="J34" s="10">
        <v>0</v>
      </c>
      <c r="K34" s="11"/>
      <c r="L34" s="19"/>
      <c r="M34" s="13">
        <f t="shared" si="6"/>
        <v>1645.6</v>
      </c>
      <c r="N34" s="14">
        <f t="shared" si="0"/>
        <v>5000</v>
      </c>
      <c r="O34" s="5" t="s">
        <v>47</v>
      </c>
      <c r="P34" s="33">
        <f t="shared" si="1"/>
        <v>164.56</v>
      </c>
      <c r="Q34" s="33">
        <f t="shared" si="2"/>
        <v>177.72480000000002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2371</v>
      </c>
      <c r="I35" s="10">
        <v>375</v>
      </c>
      <c r="J35" s="10">
        <v>105</v>
      </c>
      <c r="K35" s="16">
        <v>913.35</v>
      </c>
      <c r="L35" s="19"/>
      <c r="M35" s="13">
        <f t="shared" si="6"/>
        <v>235.64999999999998</v>
      </c>
      <c r="N35" s="14">
        <f t="shared" si="0"/>
        <v>2606.65</v>
      </c>
      <c r="O35" s="5" t="s">
        <v>47</v>
      </c>
      <c r="P35" s="33">
        <f t="shared" si="1"/>
        <v>23.564999999999998</v>
      </c>
      <c r="Q35" s="33">
        <f t="shared" si="2"/>
        <v>25.450199999999999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2372.1999999999998</v>
      </c>
      <c r="I36" s="10">
        <v>375</v>
      </c>
      <c r="J36" s="10">
        <v>105</v>
      </c>
      <c r="K36" s="16">
        <v>1025.06</v>
      </c>
      <c r="L36" s="12"/>
      <c r="M36" s="13">
        <f t="shared" si="6"/>
        <v>1122.7400000000002</v>
      </c>
      <c r="N36" s="14">
        <f t="shared" si="0"/>
        <v>3494.94</v>
      </c>
      <c r="O36" s="5" t="s">
        <v>47</v>
      </c>
      <c r="P36" s="33">
        <f t="shared" si="1"/>
        <v>112.27400000000003</v>
      </c>
      <c r="Q36" s="33">
        <f t="shared" si="2"/>
        <v>121.25592000000005</v>
      </c>
    </row>
    <row r="37" spans="1:17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3354.2</v>
      </c>
      <c r="I37" s="10">
        <v>75</v>
      </c>
      <c r="J37" s="10">
        <v>35</v>
      </c>
      <c r="K37" s="11"/>
      <c r="L37" s="19"/>
      <c r="M37" s="13">
        <f t="shared" si="6"/>
        <v>535.80000000000018</v>
      </c>
      <c r="N37" s="14">
        <f t="shared" si="0"/>
        <v>3890</v>
      </c>
      <c r="O37" s="5" t="s">
        <v>47</v>
      </c>
      <c r="P37" s="33">
        <f t="shared" si="1"/>
        <v>53.58000000000002</v>
      </c>
      <c r="Q37" s="33">
        <f t="shared" si="2"/>
        <v>57.866400000000027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3120.4</v>
      </c>
      <c r="I38" s="10">
        <v>375</v>
      </c>
      <c r="J38" s="10">
        <v>140</v>
      </c>
      <c r="K38" s="21">
        <v>293.92</v>
      </c>
      <c r="L38" s="19"/>
      <c r="M38" s="13">
        <f t="shared" si="6"/>
        <v>3070.68</v>
      </c>
      <c r="N38" s="14">
        <f>H38+M38</f>
        <v>6191.08</v>
      </c>
      <c r="O38" s="5" t="s">
        <v>47</v>
      </c>
      <c r="P38" s="33">
        <f t="shared" si="1"/>
        <v>307.06799999999998</v>
      </c>
      <c r="Q38" s="33">
        <f t="shared" si="2"/>
        <v>331.63344000000001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2801.2</v>
      </c>
      <c r="I39" s="10">
        <v>300</v>
      </c>
      <c r="J39" s="10">
        <v>105</v>
      </c>
      <c r="K39" s="21">
        <v>293.92</v>
      </c>
      <c r="L39" s="19"/>
      <c r="M39" s="98">
        <f>C39-H39-I39+L39-K39-J39+0.12</f>
        <v>1.659783421814609E-13</v>
      </c>
      <c r="N39" s="14">
        <f t="shared" si="0"/>
        <v>2801.2</v>
      </c>
      <c r="O39" s="5" t="s">
        <v>47</v>
      </c>
      <c r="P39" s="33">
        <f t="shared" si="1"/>
        <v>1.659783421814609E-14</v>
      </c>
      <c r="Q39" s="33">
        <f t="shared" si="2"/>
        <v>1.7925660955597778E-14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3354.4</v>
      </c>
      <c r="I40" s="10">
        <v>0</v>
      </c>
      <c r="J40" s="10">
        <v>0</v>
      </c>
      <c r="K40" s="21"/>
      <c r="L40" s="19"/>
      <c r="M40" s="22">
        <f>C40-H40-I40+L40-K40-J40</f>
        <v>20.599999999999909</v>
      </c>
      <c r="N40" s="14">
        <f t="shared" si="0"/>
        <v>3375</v>
      </c>
      <c r="O40" s="5" t="s">
        <v>47</v>
      </c>
      <c r="P40" s="33">
        <f t="shared" si="1"/>
        <v>2.0599999999999912</v>
      </c>
      <c r="Q40" s="33">
        <f t="shared" si="2"/>
        <v>2.2247999999999908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3354.4</v>
      </c>
      <c r="I41" s="10">
        <v>375</v>
      </c>
      <c r="J41" s="10">
        <v>175</v>
      </c>
      <c r="K41" s="11"/>
      <c r="L41" s="19"/>
      <c r="M41" s="13">
        <f t="shared" si="6"/>
        <v>1095.5999999999999</v>
      </c>
      <c r="N41" s="14">
        <f t="shared" si="0"/>
        <v>4450</v>
      </c>
      <c r="O41" s="5" t="s">
        <v>47</v>
      </c>
      <c r="P41" s="33">
        <f t="shared" si="1"/>
        <v>109.56</v>
      </c>
      <c r="Q41" s="33">
        <f t="shared" si="2"/>
        <v>118.32480000000001</v>
      </c>
    </row>
    <row r="42" spans="1:17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2986.2</v>
      </c>
      <c r="I42" s="10">
        <v>150</v>
      </c>
      <c r="J42" s="10">
        <v>70</v>
      </c>
      <c r="K42" s="21">
        <v>293.92</v>
      </c>
      <c r="L42" s="19"/>
      <c r="M42" s="98">
        <f>C42-H42-I42+L42-K42-J42+0.12</f>
        <v>1.659783421814609E-13</v>
      </c>
      <c r="N42" s="14">
        <f t="shared" si="0"/>
        <v>2986.2</v>
      </c>
      <c r="O42" s="5" t="s">
        <v>47</v>
      </c>
      <c r="P42" s="33">
        <f t="shared" si="1"/>
        <v>1.659783421814609E-14</v>
      </c>
      <c r="Q42" s="33">
        <f t="shared" si="2"/>
        <v>1.7925660955597778E-14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0</v>
      </c>
      <c r="J43" s="10">
        <v>0</v>
      </c>
      <c r="K43" s="11"/>
      <c r="L43" s="19"/>
      <c r="M43" s="13">
        <f t="shared" si="6"/>
        <v>1645.6</v>
      </c>
      <c r="N43" s="14">
        <f t="shared" si="0"/>
        <v>5000</v>
      </c>
      <c r="O43" s="5" t="s">
        <v>47</v>
      </c>
      <c r="P43" s="33">
        <f t="shared" si="1"/>
        <v>164.56</v>
      </c>
      <c r="Q43" s="33">
        <f t="shared" si="2"/>
        <v>177.72480000000002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3354.4</v>
      </c>
      <c r="I44" s="10">
        <v>0</v>
      </c>
      <c r="J44" s="10">
        <v>0</v>
      </c>
      <c r="K44" s="11"/>
      <c r="L44" s="19"/>
      <c r="M44" s="13">
        <f t="shared" si="6"/>
        <v>5395.6</v>
      </c>
      <c r="N44" s="14">
        <f t="shared" si="0"/>
        <v>8750</v>
      </c>
      <c r="O44" s="5" t="s">
        <v>47</v>
      </c>
      <c r="P44" s="33">
        <f t="shared" si="1"/>
        <v>539.56000000000006</v>
      </c>
      <c r="Q44" s="33">
        <f t="shared" si="2"/>
        <v>582.72480000000007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3354.2</v>
      </c>
      <c r="I45" s="10">
        <v>0</v>
      </c>
      <c r="J45" s="10">
        <v>105</v>
      </c>
      <c r="K45" s="21"/>
      <c r="L45" s="12"/>
      <c r="M45" s="13">
        <f t="shared" si="6"/>
        <v>1540.8000000000002</v>
      </c>
      <c r="N45" s="14">
        <f t="shared" si="0"/>
        <v>4895</v>
      </c>
      <c r="O45" s="5" t="s">
        <v>47</v>
      </c>
      <c r="P45" s="33">
        <f t="shared" si="1"/>
        <v>154.08000000000004</v>
      </c>
      <c r="Q45" s="33">
        <f t="shared" si="2"/>
        <v>166.40640000000005</v>
      </c>
    </row>
    <row r="46" spans="1:17" s="55" customFormat="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3354.2</v>
      </c>
      <c r="I46" s="10">
        <v>0</v>
      </c>
      <c r="J46" s="10">
        <v>0</v>
      </c>
      <c r="K46" s="11"/>
      <c r="L46" s="19"/>
      <c r="M46" s="13">
        <f t="shared" si="6"/>
        <v>645.80000000000018</v>
      </c>
      <c r="N46" s="14">
        <f t="shared" si="0"/>
        <v>4000</v>
      </c>
      <c r="O46" s="5" t="s">
        <v>47</v>
      </c>
      <c r="P46" s="33">
        <f t="shared" si="1"/>
        <v>64.580000000000027</v>
      </c>
      <c r="Q46" s="33">
        <f t="shared" si="2"/>
        <v>69.746400000000037</v>
      </c>
    </row>
    <row r="47" spans="1:17" s="55" customFormat="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>
        <v>0</v>
      </c>
      <c r="J47" s="10">
        <v>0</v>
      </c>
      <c r="K47" s="21"/>
      <c r="L47" s="12"/>
      <c r="M47" s="13">
        <f t="shared" si="6"/>
        <v>645.59999999999991</v>
      </c>
      <c r="N47" s="14">
        <f t="shared" si="0"/>
        <v>4000</v>
      </c>
      <c r="O47" s="5" t="s">
        <v>47</v>
      </c>
      <c r="P47" s="33">
        <f t="shared" si="1"/>
        <v>64.559999999999988</v>
      </c>
      <c r="Q47" s="33">
        <f t="shared" si="2"/>
        <v>69.724799999999988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3354.2</v>
      </c>
      <c r="I48" s="10">
        <v>375</v>
      </c>
      <c r="J48" s="10">
        <v>0</v>
      </c>
      <c r="K48" s="11"/>
      <c r="L48" s="19"/>
      <c r="M48" s="13">
        <f t="shared" si="6"/>
        <v>270.80000000000018</v>
      </c>
      <c r="N48" s="14">
        <f t="shared" si="0"/>
        <v>3625</v>
      </c>
      <c r="O48" s="5" t="s">
        <v>47</v>
      </c>
      <c r="P48" s="33">
        <f t="shared" si="1"/>
        <v>27.08000000000002</v>
      </c>
      <c r="Q48" s="33">
        <f t="shared" si="2"/>
        <v>29.246400000000023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3354.4</v>
      </c>
      <c r="I49" s="10">
        <v>375</v>
      </c>
      <c r="J49" s="10">
        <v>175</v>
      </c>
      <c r="K49" s="11"/>
      <c r="L49" s="19"/>
      <c r="M49" s="13">
        <f t="shared" si="6"/>
        <v>1095.5999999999999</v>
      </c>
      <c r="N49" s="14">
        <f t="shared" si="0"/>
        <v>4450</v>
      </c>
      <c r="O49" s="5" t="s">
        <v>47</v>
      </c>
      <c r="P49" s="33">
        <f t="shared" si="1"/>
        <v>109.56</v>
      </c>
      <c r="Q49" s="33">
        <f t="shared" si="2"/>
        <v>118.32480000000001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3354.4</v>
      </c>
      <c r="I50" s="10">
        <v>0</v>
      </c>
      <c r="J50" s="10">
        <v>0</v>
      </c>
      <c r="K50" s="11"/>
      <c r="L50" s="19">
        <v>521.99</v>
      </c>
      <c r="M50" s="13">
        <f t="shared" si="6"/>
        <v>667.58999999999992</v>
      </c>
      <c r="N50" s="14">
        <f t="shared" si="0"/>
        <v>4021.99</v>
      </c>
      <c r="O50" s="5" t="s">
        <v>47</v>
      </c>
      <c r="P50" s="33">
        <f t="shared" si="1"/>
        <v>66.759</v>
      </c>
      <c r="Q50" s="33">
        <f t="shared" si="2"/>
        <v>72.099720000000005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0</v>
      </c>
      <c r="J51" s="10">
        <v>0</v>
      </c>
      <c r="K51" s="11"/>
      <c r="L51" s="19"/>
      <c r="M51" s="13">
        <f t="shared" si="6"/>
        <v>145.59999999999991</v>
      </c>
      <c r="N51" s="14">
        <f t="shared" si="0"/>
        <v>3500</v>
      </c>
      <c r="O51" s="5" t="s">
        <v>47</v>
      </c>
      <c r="P51" s="33">
        <f t="shared" si="1"/>
        <v>14.559999999999992</v>
      </c>
      <c r="Q51" s="33">
        <f t="shared" si="2"/>
        <v>15.724799999999991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3354.2</v>
      </c>
      <c r="I52" s="10">
        <v>0</v>
      </c>
      <c r="J52" s="10">
        <v>35</v>
      </c>
      <c r="K52" s="11"/>
      <c r="L52" s="19"/>
      <c r="M52" s="13">
        <f t="shared" si="6"/>
        <v>860.80000000000018</v>
      </c>
      <c r="N52" s="14">
        <f t="shared" si="0"/>
        <v>4215</v>
      </c>
      <c r="O52" s="5" t="s">
        <v>47</v>
      </c>
      <c r="P52" s="33">
        <f t="shared" si="1"/>
        <v>86.080000000000027</v>
      </c>
      <c r="Q52" s="33">
        <f t="shared" si="2"/>
        <v>92.966400000000036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3354.4</v>
      </c>
      <c r="I53" s="10">
        <v>0</v>
      </c>
      <c r="J53" s="10">
        <v>70</v>
      </c>
      <c r="K53" s="11"/>
      <c r="L53" s="12"/>
      <c r="M53" s="13">
        <f t="shared" si="6"/>
        <v>575.59999999999991</v>
      </c>
      <c r="N53" s="14">
        <f t="shared" si="0"/>
        <v>3930</v>
      </c>
      <c r="O53" s="5" t="s">
        <v>47</v>
      </c>
      <c r="P53" s="33">
        <f t="shared" si="1"/>
        <v>57.559999999999995</v>
      </c>
      <c r="Q53" s="33">
        <f t="shared" si="2"/>
        <v>62.1648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3354.4</v>
      </c>
      <c r="I54" s="10">
        <v>375</v>
      </c>
      <c r="J54" s="10">
        <v>175</v>
      </c>
      <c r="K54" s="11"/>
      <c r="L54" s="12"/>
      <c r="M54" s="22">
        <f>C54-H54-I54+L54-K54-J54+0.02</f>
        <v>95.619999999999905</v>
      </c>
      <c r="N54" s="14">
        <f t="shared" si="0"/>
        <v>3450.02</v>
      </c>
      <c r="O54" s="5" t="s">
        <v>47</v>
      </c>
      <c r="P54" s="33">
        <f t="shared" si="1"/>
        <v>9.5619999999999905</v>
      </c>
      <c r="Q54" s="33">
        <f t="shared" si="2"/>
        <v>10.326959999999991</v>
      </c>
    </row>
    <row r="55" spans="1:18" x14ac:dyDescent="0.25">
      <c r="A55" s="5">
        <v>295</v>
      </c>
      <c r="B55" s="6" t="s">
        <v>104</v>
      </c>
      <c r="C55" s="7">
        <v>5500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3354.2</v>
      </c>
      <c r="I55" s="10">
        <v>375</v>
      </c>
      <c r="J55" s="10">
        <v>35</v>
      </c>
      <c r="K55" s="11"/>
      <c r="L55" s="12"/>
      <c r="M55" s="22">
        <f>C55-H55-I55+L55-K55-J55+0.02</f>
        <v>1735.8200000000002</v>
      </c>
      <c r="N55" s="14">
        <f t="shared" si="0"/>
        <v>5090.0200000000004</v>
      </c>
      <c r="O55" s="5" t="s">
        <v>47</v>
      </c>
      <c r="P55" s="33">
        <f t="shared" si="1"/>
        <v>173.58200000000002</v>
      </c>
      <c r="Q55" s="33">
        <f t="shared" si="2"/>
        <v>187.46856000000002</v>
      </c>
    </row>
    <row r="56" spans="1:18" x14ac:dyDescent="0.25">
      <c r="A56" s="5">
        <v>296</v>
      </c>
      <c r="B56" s="6" t="s">
        <v>107</v>
      </c>
      <c r="C56" s="7">
        <v>5000</v>
      </c>
      <c r="D56" s="7">
        <v>419.88</v>
      </c>
      <c r="E56" s="8">
        <f>D56*6</f>
        <v>2519.2799999999997</v>
      </c>
      <c r="F56" s="8">
        <f t="shared" si="4"/>
        <v>419.88</v>
      </c>
      <c r="G56" s="9">
        <f>E56+F56</f>
        <v>2939.16</v>
      </c>
      <c r="H56" s="37">
        <v>3354.2</v>
      </c>
      <c r="I56" s="10">
        <v>0</v>
      </c>
      <c r="J56" s="10">
        <v>0</v>
      </c>
      <c r="K56" s="11"/>
      <c r="L56" s="12"/>
      <c r="M56" s="22">
        <f>C56-H56-I56+L56-K56-J56+0.02</f>
        <v>1645.8200000000002</v>
      </c>
      <c r="N56" s="14">
        <f>H56+M56</f>
        <v>5000.0200000000004</v>
      </c>
      <c r="O56" s="5" t="s">
        <v>47</v>
      </c>
      <c r="P56" s="33">
        <f>+M56*0.1</f>
        <v>164.58200000000002</v>
      </c>
      <c r="Q56" s="33">
        <f>+P56*1.08</f>
        <v>177.74856000000003</v>
      </c>
    </row>
    <row r="57" spans="1:18" x14ac:dyDescent="0.25">
      <c r="A57" s="5">
        <v>297</v>
      </c>
      <c r="B57" s="6" t="s">
        <v>110</v>
      </c>
      <c r="C57" s="7">
        <v>4000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2879</v>
      </c>
      <c r="I57" s="10">
        <v>0</v>
      </c>
      <c r="J57" s="10">
        <v>0</v>
      </c>
      <c r="K57" s="11">
        <v>668.56</v>
      </c>
      <c r="L57" s="12"/>
      <c r="M57" s="22">
        <f>C57-H57-I57+L57-K57-J57+0.02</f>
        <v>452.46000000000004</v>
      </c>
      <c r="N57" s="14">
        <f t="shared" si="0"/>
        <v>3331.46</v>
      </c>
      <c r="O57" s="5" t="s">
        <v>47</v>
      </c>
      <c r="P57" s="33">
        <f t="shared" si="1"/>
        <v>45.246000000000009</v>
      </c>
      <c r="Q57" s="33">
        <f t="shared" si="2"/>
        <v>48.865680000000012</v>
      </c>
    </row>
    <row r="58" spans="1:18" ht="16.149999999999999" customHeight="1" thickBot="1" x14ac:dyDescent="0.3"/>
    <row r="59" spans="1:18" ht="18" thickBot="1" x14ac:dyDescent="0.35">
      <c r="A59" s="23"/>
      <c r="B59" s="24"/>
      <c r="C59" s="25">
        <f t="shared" ref="C59:N59" si="7">SUM(C4:C58)</f>
        <v>263625</v>
      </c>
      <c r="D59" s="25">
        <f t="shared" si="7"/>
        <v>22673.52</v>
      </c>
      <c r="E59" s="25">
        <f t="shared" si="7"/>
        <v>133521.83999999997</v>
      </c>
      <c r="F59" s="25">
        <f t="shared" si="7"/>
        <v>22253.64</v>
      </c>
      <c r="G59" s="25">
        <f t="shared" si="7"/>
        <v>155775.48000000013</v>
      </c>
      <c r="H59" s="25">
        <f>SUM(H4:H58)</f>
        <v>171952.99999999994</v>
      </c>
      <c r="I59" s="26">
        <f t="shared" si="7"/>
        <v>9075</v>
      </c>
      <c r="J59" s="26">
        <f t="shared" si="7"/>
        <v>3780</v>
      </c>
      <c r="K59" s="26">
        <f t="shared" si="7"/>
        <v>9008.92</v>
      </c>
      <c r="L59" s="27">
        <f t="shared" si="7"/>
        <v>6593.41</v>
      </c>
      <c r="M59" s="25">
        <f t="shared" si="7"/>
        <v>76401.810000000041</v>
      </c>
      <c r="N59" s="25">
        <f t="shared" si="7"/>
        <v>248354.80999999997</v>
      </c>
      <c r="P59" s="25">
        <f>SUM(P4:P58)</f>
        <v>7640.181000000006</v>
      </c>
      <c r="Q59" s="25">
        <f>SUM(Q4:Q58)</f>
        <v>8251.395480000001</v>
      </c>
      <c r="R59" s="55">
        <f>+N59+Q59</f>
        <v>256606.20547999998</v>
      </c>
    </row>
    <row r="60" spans="1:18" x14ac:dyDescent="0.25">
      <c r="H60" s="15"/>
      <c r="M60" s="15"/>
    </row>
    <row r="61" spans="1:18" x14ac:dyDescent="0.25">
      <c r="H61" s="15"/>
      <c r="I61">
        <f>+I59/75</f>
        <v>121</v>
      </c>
      <c r="J61" s="28">
        <f>SUM(J59)/35</f>
        <v>108</v>
      </c>
      <c r="R61" s="55">
        <v>12886.8</v>
      </c>
    </row>
    <row r="62" spans="1:18" x14ac:dyDescent="0.25">
      <c r="F62" s="15"/>
      <c r="H62" s="15">
        <f>H59+M59</f>
        <v>248354.81</v>
      </c>
      <c r="K62" s="15"/>
    </row>
    <row r="63" spans="1:18" x14ac:dyDescent="0.25">
      <c r="H63" s="15">
        <f>'[1]Nom 9'!$H$53</f>
        <v>131178.05999999994</v>
      </c>
      <c r="I63" s="40"/>
      <c r="J63" s="15"/>
    </row>
    <row r="64" spans="1:18" x14ac:dyDescent="0.25">
      <c r="H64" s="15">
        <f>[2]Rino!$H$8</f>
        <v>75398.810000000012</v>
      </c>
    </row>
    <row r="65" spans="8:10" x14ac:dyDescent="0.25">
      <c r="H65" s="15">
        <f>H63+H64</f>
        <v>206576.86999999994</v>
      </c>
    </row>
    <row r="70" spans="8:10" x14ac:dyDescent="0.25">
      <c r="J70" s="15" t="e">
        <f>(H59-#REF!-#REF!)+3354.4+2879</f>
        <v>#REF!</v>
      </c>
    </row>
  </sheetData>
  <autoFilter ref="A3:Q57" xr:uid="{00000000-0009-0000-0000-000014000000}"/>
  <mergeCells count="2">
    <mergeCell ref="A1:N1"/>
    <mergeCell ref="A2:N2"/>
  </mergeCells>
  <pageMargins left="0.25" right="0.25" top="0.75" bottom="0.75" header="0.3" footer="0.3"/>
  <pageSetup scale="56" fitToWidth="0" orientation="landscape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22">
    <pageSetUpPr fitToPage="1"/>
  </sheetPr>
  <dimension ref="A1:R70"/>
  <sheetViews>
    <sheetView showGridLines="0" topLeftCell="A33" zoomScaleNormal="100" workbookViewId="0">
      <selection activeCell="G39" sqref="G39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111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7" si="0">H4+M4</f>
        <v>0</v>
      </c>
      <c r="O4" s="81" t="s">
        <v>48</v>
      </c>
      <c r="P4" s="82">
        <f t="shared" ref="P4:P57" si="1">+M4*0.1</f>
        <v>0</v>
      </c>
      <c r="Q4" s="82">
        <f t="shared" ref="Q4:Q57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7" si="3">D5*6</f>
        <v>2519.2799999999997</v>
      </c>
      <c r="F5" s="8">
        <f t="shared" ref="F5:F57" si="4">$D$4</f>
        <v>419.88</v>
      </c>
      <c r="G5" s="9">
        <f t="shared" ref="G5:G57" si="5">E5+F5</f>
        <v>2939.16</v>
      </c>
      <c r="H5" s="37">
        <v>3354.4</v>
      </c>
      <c r="I5" s="10">
        <v>75</v>
      </c>
      <c r="J5" s="10">
        <v>0</v>
      </c>
      <c r="K5" s="11"/>
      <c r="L5" s="12"/>
      <c r="M5" s="13">
        <f>C5-H5-I5+L5-K5-J5</f>
        <v>570.59999999999991</v>
      </c>
      <c r="N5" s="14">
        <f t="shared" si="0"/>
        <v>3925</v>
      </c>
      <c r="O5" s="29" t="s">
        <v>47</v>
      </c>
      <c r="P5" s="33">
        <f t="shared" si="1"/>
        <v>57.059999999999995</v>
      </c>
      <c r="Q5" s="33">
        <f t="shared" si="2"/>
        <v>61.6248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3354.4</v>
      </c>
      <c r="I6" s="18">
        <v>0</v>
      </c>
      <c r="J6" s="18">
        <v>105</v>
      </c>
      <c r="K6" s="21">
        <v>2849.16</v>
      </c>
      <c r="L6" s="12"/>
      <c r="M6" s="13">
        <f t="shared" ref="M6:M53" si="6">C6-H6-I6+L6-K6-J6</f>
        <v>8691.44</v>
      </c>
      <c r="N6" s="14">
        <f>H6+M6</f>
        <v>12045.84</v>
      </c>
      <c r="O6" s="30" t="s">
        <v>47</v>
      </c>
      <c r="P6" s="33">
        <f t="shared" si="1"/>
        <v>869.14400000000012</v>
      </c>
      <c r="Q6" s="33">
        <f t="shared" si="2"/>
        <v>938.67552000000023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3354.4</v>
      </c>
      <c r="I7" s="10">
        <v>0</v>
      </c>
      <c r="J7" s="10">
        <v>105</v>
      </c>
      <c r="K7" s="21"/>
      <c r="L7" s="12"/>
      <c r="M7" s="13">
        <f t="shared" si="6"/>
        <v>1540.6</v>
      </c>
      <c r="N7" s="14">
        <f t="shared" si="0"/>
        <v>4895</v>
      </c>
      <c r="O7" s="36" t="s">
        <v>47</v>
      </c>
      <c r="P7" s="33">
        <f t="shared" si="1"/>
        <v>154.06</v>
      </c>
      <c r="Q7" s="33">
        <f t="shared" si="2"/>
        <v>166.38480000000001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75</v>
      </c>
      <c r="J8" s="10">
        <v>35</v>
      </c>
      <c r="K8" s="11"/>
      <c r="L8" s="12"/>
      <c r="M8" s="13">
        <f t="shared" si="6"/>
        <v>1035.5999999999999</v>
      </c>
      <c r="N8" s="14">
        <f t="shared" si="0"/>
        <v>4390</v>
      </c>
      <c r="O8" s="30" t="s">
        <v>47</v>
      </c>
      <c r="P8" s="33">
        <f t="shared" si="1"/>
        <v>103.56</v>
      </c>
      <c r="Q8" s="33">
        <f t="shared" si="2"/>
        <v>111.84480000000001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2879</v>
      </c>
      <c r="I9" s="10">
        <v>0</v>
      </c>
      <c r="J9" s="10">
        <v>70</v>
      </c>
      <c r="K9" s="21">
        <v>587.84</v>
      </c>
      <c r="L9" s="12"/>
      <c r="M9" s="22">
        <f>C9-H9-I9+L9-K9-J9</f>
        <v>463.15999999999997</v>
      </c>
      <c r="N9" s="14">
        <f t="shared" si="0"/>
        <v>3342.16</v>
      </c>
      <c r="O9" s="30" t="s">
        <v>47</v>
      </c>
      <c r="P9" s="33">
        <f t="shared" si="1"/>
        <v>46.316000000000003</v>
      </c>
      <c r="Q9" s="33">
        <f t="shared" si="2"/>
        <v>50.021280000000004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3393.2</v>
      </c>
      <c r="I10" s="10">
        <v>0</v>
      </c>
      <c r="J10" s="10">
        <v>0</v>
      </c>
      <c r="K10" s="20"/>
      <c r="L10" s="19">
        <v>142.85</v>
      </c>
      <c r="M10" s="13">
        <f t="shared" si="6"/>
        <v>749.6500000000002</v>
      </c>
      <c r="N10" s="14">
        <f t="shared" si="0"/>
        <v>4142.8500000000004</v>
      </c>
      <c r="O10" s="30" t="s">
        <v>49</v>
      </c>
      <c r="P10" s="33">
        <f t="shared" si="1"/>
        <v>74.965000000000018</v>
      </c>
      <c r="Q10" s="33">
        <f t="shared" si="2"/>
        <v>80.962200000000024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3354.2</v>
      </c>
      <c r="I11" s="10">
        <v>0</v>
      </c>
      <c r="J11" s="10">
        <v>70</v>
      </c>
      <c r="K11" s="11"/>
      <c r="L11" s="12"/>
      <c r="M11" s="13">
        <f>C11-H11-I11+L11-K11-J11</f>
        <v>3575.8</v>
      </c>
      <c r="N11" s="14">
        <f t="shared" si="0"/>
        <v>6930</v>
      </c>
      <c r="O11" s="30" t="s">
        <v>47</v>
      </c>
      <c r="P11" s="33">
        <f t="shared" si="1"/>
        <v>357.58000000000004</v>
      </c>
      <c r="Q11" s="33">
        <f t="shared" si="2"/>
        <v>386.18640000000005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3354.4</v>
      </c>
      <c r="I12" s="10">
        <v>75</v>
      </c>
      <c r="J12" s="10">
        <v>0</v>
      </c>
      <c r="K12" s="11"/>
      <c r="L12" s="12"/>
      <c r="M12" s="13">
        <f>C12-H12-I12+L12-K12-J12</f>
        <v>1570.6</v>
      </c>
      <c r="N12" s="14">
        <f t="shared" si="0"/>
        <v>4925</v>
      </c>
      <c r="O12" s="30" t="s">
        <v>47</v>
      </c>
      <c r="P12" s="33">
        <f t="shared" si="1"/>
        <v>157.06</v>
      </c>
      <c r="Q12" s="33">
        <f t="shared" si="2"/>
        <v>169.62480000000002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3354.4</v>
      </c>
      <c r="I13" s="10">
        <v>0</v>
      </c>
      <c r="J13" s="10">
        <v>105</v>
      </c>
      <c r="K13" s="21"/>
      <c r="L13" s="12"/>
      <c r="M13" s="13">
        <f>C13-H13-I13+L13-K13-J13</f>
        <v>40.599999999999909</v>
      </c>
      <c r="N13" s="14">
        <f t="shared" si="0"/>
        <v>3395</v>
      </c>
      <c r="O13" s="30" t="s">
        <v>47</v>
      </c>
      <c r="P13" s="33">
        <f t="shared" si="1"/>
        <v>4.0599999999999907</v>
      </c>
      <c r="Q13" s="33">
        <f t="shared" si="2"/>
        <v>4.3847999999999905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2879.2</v>
      </c>
      <c r="I14" s="10">
        <v>0</v>
      </c>
      <c r="J14" s="10">
        <v>70</v>
      </c>
      <c r="K14" s="21">
        <v>587.84</v>
      </c>
      <c r="L14" s="12"/>
      <c r="M14" s="22">
        <f>C14-H14-I14+L14-K14-J14</f>
        <v>462.96000000000015</v>
      </c>
      <c r="N14" s="14">
        <f t="shared" si="0"/>
        <v>3342.16</v>
      </c>
      <c r="O14" s="36" t="s">
        <v>47</v>
      </c>
      <c r="P14" s="33">
        <f t="shared" si="1"/>
        <v>46.296000000000021</v>
      </c>
      <c r="Q14" s="33">
        <f t="shared" si="2"/>
        <v>49.999680000000026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>
        <v>0</v>
      </c>
      <c r="J15" s="10">
        <v>0</v>
      </c>
      <c r="K15" s="21"/>
      <c r="L15" s="12"/>
      <c r="M15" s="13">
        <f t="shared" si="6"/>
        <v>645.59999999999991</v>
      </c>
      <c r="N15" s="14">
        <f t="shared" si="0"/>
        <v>4000</v>
      </c>
      <c r="O15" s="30" t="s">
        <v>47</v>
      </c>
      <c r="P15" s="33">
        <f t="shared" si="1"/>
        <v>64.559999999999988</v>
      </c>
      <c r="Q15" s="33">
        <f t="shared" si="2"/>
        <v>69.724799999999988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3354.2</v>
      </c>
      <c r="I16" s="10">
        <v>75</v>
      </c>
      <c r="J16" s="10">
        <v>140</v>
      </c>
      <c r="K16" s="21"/>
      <c r="L16" s="12"/>
      <c r="M16" s="13">
        <f>C16-H16-I16+L16-K16-J16</f>
        <v>430.80000000000018</v>
      </c>
      <c r="N16" s="14">
        <f t="shared" si="0"/>
        <v>3785</v>
      </c>
      <c r="O16" s="29" t="s">
        <v>47</v>
      </c>
      <c r="P16" s="33">
        <f t="shared" si="1"/>
        <v>43.08000000000002</v>
      </c>
      <c r="Q16" s="33">
        <f t="shared" si="2"/>
        <v>46.526400000000024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3120.2</v>
      </c>
      <c r="I17" s="10">
        <v>0</v>
      </c>
      <c r="J17" s="10">
        <v>0</v>
      </c>
      <c r="K17" s="21">
        <v>293.92</v>
      </c>
      <c r="L17" s="19"/>
      <c r="M17" s="13">
        <f t="shared" si="6"/>
        <v>585.88000000000011</v>
      </c>
      <c r="N17" s="14">
        <f t="shared" si="0"/>
        <v>3706.08</v>
      </c>
      <c r="O17" s="29" t="s">
        <v>47</v>
      </c>
      <c r="P17" s="33">
        <f t="shared" si="1"/>
        <v>58.588000000000015</v>
      </c>
      <c r="Q17" s="33">
        <f t="shared" si="2"/>
        <v>63.275040000000018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2879.2</v>
      </c>
      <c r="I18" s="10">
        <v>75</v>
      </c>
      <c r="J18" s="10">
        <v>140</v>
      </c>
      <c r="K18" s="21">
        <v>587.84</v>
      </c>
      <c r="L18" s="12"/>
      <c r="M18" s="13">
        <f t="shared" si="6"/>
        <v>317.96000000000015</v>
      </c>
      <c r="N18" s="14">
        <f t="shared" si="0"/>
        <v>3197.16</v>
      </c>
      <c r="O18" s="29" t="s">
        <v>47</v>
      </c>
      <c r="P18" s="33">
        <f t="shared" si="1"/>
        <v>31.796000000000017</v>
      </c>
      <c r="Q18" s="33">
        <f t="shared" si="2"/>
        <v>34.339680000000023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2376</v>
      </c>
      <c r="I19" s="10">
        <v>0</v>
      </c>
      <c r="J19" s="10">
        <v>0</v>
      </c>
      <c r="K19" s="16">
        <v>908.03</v>
      </c>
      <c r="L19" s="12"/>
      <c r="M19" s="13">
        <f t="shared" si="6"/>
        <v>6715.97</v>
      </c>
      <c r="N19" s="14">
        <f t="shared" si="0"/>
        <v>9091.9700000000012</v>
      </c>
      <c r="O19" s="29" t="s">
        <v>50</v>
      </c>
      <c r="P19" s="33">
        <f t="shared" si="1"/>
        <v>671.59700000000009</v>
      </c>
      <c r="Q19" s="33">
        <f t="shared" si="2"/>
        <v>725.3247600000002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3354.2</v>
      </c>
      <c r="I20" s="10">
        <v>75</v>
      </c>
      <c r="J20" s="10">
        <v>175</v>
      </c>
      <c r="K20" s="21"/>
      <c r="L20" s="19"/>
      <c r="M20" s="13">
        <f t="shared" si="6"/>
        <v>4395.8</v>
      </c>
      <c r="N20" s="14">
        <f t="shared" si="0"/>
        <v>7750</v>
      </c>
      <c r="O20" s="29" t="s">
        <v>47</v>
      </c>
      <c r="P20" s="33">
        <f t="shared" si="1"/>
        <v>439.58000000000004</v>
      </c>
      <c r="Q20" s="33">
        <f t="shared" si="2"/>
        <v>474.74640000000005</v>
      </c>
    </row>
    <row r="21" spans="1:17" s="55" customFormat="1" ht="13.5" customHeight="1" x14ac:dyDescent="0.25">
      <c r="A21" s="5">
        <v>204</v>
      </c>
      <c r="B21" s="6" t="s">
        <v>33</v>
      </c>
      <c r="C21" s="7">
        <v>5000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3354.2</v>
      </c>
      <c r="I21" s="10">
        <v>0</v>
      </c>
      <c r="J21" s="10">
        <v>105</v>
      </c>
      <c r="K21" s="11"/>
      <c r="L21" s="19"/>
      <c r="M21" s="13">
        <f t="shared" si="6"/>
        <v>1540.8000000000002</v>
      </c>
      <c r="N21" s="14">
        <f t="shared" si="0"/>
        <v>4895</v>
      </c>
      <c r="O21" s="29" t="s">
        <v>47</v>
      </c>
      <c r="P21" s="33">
        <f t="shared" si="1"/>
        <v>154.08000000000004</v>
      </c>
      <c r="Q21" s="33">
        <f t="shared" si="2"/>
        <v>166.40640000000005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3354.2</v>
      </c>
      <c r="I22" s="10">
        <v>0</v>
      </c>
      <c r="J22" s="10">
        <v>0</v>
      </c>
      <c r="K22" s="11"/>
      <c r="L22" s="12"/>
      <c r="M22" s="13">
        <f t="shared" si="6"/>
        <v>645.80000000000018</v>
      </c>
      <c r="N22" s="14">
        <f t="shared" si="0"/>
        <v>4000</v>
      </c>
      <c r="O22" s="29" t="s">
        <v>50</v>
      </c>
      <c r="P22" s="33">
        <f t="shared" si="1"/>
        <v>64.580000000000027</v>
      </c>
      <c r="Q22" s="33">
        <f t="shared" si="2"/>
        <v>69.746400000000037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3354.2</v>
      </c>
      <c r="I23" s="10">
        <v>0</v>
      </c>
      <c r="J23" s="10">
        <v>70</v>
      </c>
      <c r="K23" s="21"/>
      <c r="L23" s="19"/>
      <c r="M23" s="13">
        <f t="shared" si="6"/>
        <v>1575.8000000000002</v>
      </c>
      <c r="N23" s="14">
        <f t="shared" si="0"/>
        <v>4930</v>
      </c>
      <c r="O23" s="29" t="s">
        <v>47</v>
      </c>
      <c r="P23" s="33">
        <f t="shared" si="1"/>
        <v>157.58000000000004</v>
      </c>
      <c r="Q23" s="33">
        <f t="shared" si="2"/>
        <v>170.18640000000005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3354.4</v>
      </c>
      <c r="I24" s="10">
        <v>0</v>
      </c>
      <c r="J24" s="10">
        <v>0</v>
      </c>
      <c r="K24" s="12"/>
      <c r="L24" s="12"/>
      <c r="M24" s="13">
        <f t="shared" si="6"/>
        <v>145.59999999999991</v>
      </c>
      <c r="N24" s="14">
        <f t="shared" si="0"/>
        <v>3500</v>
      </c>
      <c r="O24" s="29" t="s">
        <v>49</v>
      </c>
      <c r="P24" s="33">
        <f t="shared" si="1"/>
        <v>14.559999999999992</v>
      </c>
      <c r="Q24" s="33">
        <f t="shared" si="2"/>
        <v>15.724799999999991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2556.8000000000002</v>
      </c>
      <c r="I25" s="10">
        <v>75</v>
      </c>
      <c r="J25" s="10">
        <v>210</v>
      </c>
      <c r="K25" s="21">
        <v>1158.43</v>
      </c>
      <c r="L25" s="12"/>
      <c r="M25" s="98">
        <f>C25-H25-I25+L25-K25-J25+0.23</f>
        <v>-2.45553577471469E-13</v>
      </c>
      <c r="N25" s="14">
        <f t="shared" si="0"/>
        <v>2556.7999999999997</v>
      </c>
      <c r="O25" s="36" t="s">
        <v>47</v>
      </c>
      <c r="P25" s="33">
        <f t="shared" si="1"/>
        <v>-2.4555357747146901E-14</v>
      </c>
      <c r="Q25" s="33">
        <f t="shared" si="2"/>
        <v>-2.6519786366918655E-14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3354.2</v>
      </c>
      <c r="I26" s="10">
        <v>75</v>
      </c>
      <c r="J26" s="10">
        <v>175</v>
      </c>
      <c r="K26" s="21"/>
      <c r="L26" s="12"/>
      <c r="M26" s="13">
        <f t="shared" si="6"/>
        <v>1395.8000000000002</v>
      </c>
      <c r="N26" s="14">
        <f t="shared" si="0"/>
        <v>4750</v>
      </c>
      <c r="O26" s="29" t="s">
        <v>47</v>
      </c>
      <c r="P26" s="33">
        <f t="shared" si="1"/>
        <v>139.58000000000001</v>
      </c>
      <c r="Q26" s="33">
        <f t="shared" si="2"/>
        <v>150.74640000000002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3354.4</v>
      </c>
      <c r="I27" s="10">
        <v>75</v>
      </c>
      <c r="J27" s="10">
        <v>140</v>
      </c>
      <c r="K27" s="21"/>
      <c r="L27" s="19"/>
      <c r="M27" s="13">
        <f t="shared" si="6"/>
        <v>4430.6000000000004</v>
      </c>
      <c r="N27" s="14">
        <f t="shared" si="0"/>
        <v>7785</v>
      </c>
      <c r="O27" s="29" t="s">
        <v>47</v>
      </c>
      <c r="P27" s="33">
        <f t="shared" si="1"/>
        <v>443.06000000000006</v>
      </c>
      <c r="Q27" s="33">
        <f t="shared" si="2"/>
        <v>478.5048000000001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3354.2</v>
      </c>
      <c r="I28" s="10">
        <v>75</v>
      </c>
      <c r="J28" s="10">
        <v>105</v>
      </c>
      <c r="K28" s="21"/>
      <c r="L28" s="12"/>
      <c r="M28" s="13">
        <f t="shared" si="6"/>
        <v>2465.8000000000002</v>
      </c>
      <c r="N28" s="14">
        <f t="shared" si="0"/>
        <v>5820</v>
      </c>
      <c r="O28" s="29" t="s">
        <v>47</v>
      </c>
      <c r="P28" s="33">
        <f t="shared" si="1"/>
        <v>246.58000000000004</v>
      </c>
      <c r="Q28" s="33">
        <f t="shared" si="2"/>
        <v>266.30640000000005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3393.2</v>
      </c>
      <c r="I29" s="10">
        <v>75</v>
      </c>
      <c r="J29" s="10">
        <v>105</v>
      </c>
      <c r="K29" s="21"/>
      <c r="L29" s="19">
        <v>223.21</v>
      </c>
      <c r="M29" s="13">
        <f t="shared" si="6"/>
        <v>2900.01</v>
      </c>
      <c r="N29" s="14">
        <f t="shared" si="0"/>
        <v>6293.21</v>
      </c>
      <c r="O29" s="31" t="s">
        <v>47</v>
      </c>
      <c r="P29" s="33">
        <f t="shared" si="1"/>
        <v>290.00100000000003</v>
      </c>
      <c r="Q29" s="33">
        <f t="shared" si="2"/>
        <v>313.20108000000005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3238.6</v>
      </c>
      <c r="I30" s="10">
        <v>75</v>
      </c>
      <c r="J30" s="10">
        <v>105</v>
      </c>
      <c r="K30" s="11">
        <v>314.29000000000002</v>
      </c>
      <c r="L30" s="19"/>
      <c r="M30" s="13">
        <f>C30-H30-I30+L30-K30-J30</f>
        <v>1267.1100000000001</v>
      </c>
      <c r="N30" s="14">
        <f>H30+M30</f>
        <v>4505.71</v>
      </c>
      <c r="O30" s="29" t="s">
        <v>47</v>
      </c>
      <c r="P30" s="33">
        <f>+M30*0.1</f>
        <v>126.71100000000001</v>
      </c>
      <c r="Q30" s="33">
        <f t="shared" si="2"/>
        <v>136.84788000000003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3354.4</v>
      </c>
      <c r="I31" s="10">
        <v>0</v>
      </c>
      <c r="J31" s="10">
        <v>105</v>
      </c>
      <c r="K31" s="21"/>
      <c r="L31" s="12"/>
      <c r="M31" s="13">
        <f>C31-H31-I31+L31-K31-J31</f>
        <v>1540.6</v>
      </c>
      <c r="N31" s="14">
        <f t="shared" si="0"/>
        <v>4895</v>
      </c>
      <c r="O31" s="29" t="s">
        <v>47</v>
      </c>
      <c r="P31" s="33">
        <f t="shared" si="1"/>
        <v>154.06</v>
      </c>
      <c r="Q31" s="33">
        <f t="shared" si="2"/>
        <v>166.38480000000001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3354.2</v>
      </c>
      <c r="I32" s="10">
        <v>0</v>
      </c>
      <c r="J32" s="10">
        <v>0</v>
      </c>
      <c r="K32" s="11"/>
      <c r="L32" s="12"/>
      <c r="M32" s="13">
        <f t="shared" si="6"/>
        <v>1645.8000000000002</v>
      </c>
      <c r="N32" s="14">
        <f>H32+M32</f>
        <v>5000</v>
      </c>
      <c r="O32" s="34">
        <v>2</v>
      </c>
      <c r="P32" s="33">
        <f t="shared" si="1"/>
        <v>164.58000000000004</v>
      </c>
      <c r="Q32" s="33">
        <f t="shared" si="2"/>
        <v>177.74640000000005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3354.4</v>
      </c>
      <c r="I33" s="10">
        <v>0</v>
      </c>
      <c r="J33" s="10">
        <v>140</v>
      </c>
      <c r="K33" s="21"/>
      <c r="L33" s="12"/>
      <c r="M33" s="22">
        <f>C33-H33-I33+L33-K33-J33</f>
        <v>505.59999999999991</v>
      </c>
      <c r="N33" s="14">
        <f t="shared" si="0"/>
        <v>3860</v>
      </c>
      <c r="O33" s="5" t="s">
        <v>47</v>
      </c>
      <c r="P33" s="33">
        <f t="shared" si="1"/>
        <v>50.559999999999995</v>
      </c>
      <c r="Q33" s="33">
        <f t="shared" si="2"/>
        <v>54.604799999999997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3354.2</v>
      </c>
      <c r="I34" s="10">
        <v>0</v>
      </c>
      <c r="J34" s="10">
        <v>0</v>
      </c>
      <c r="K34" s="11"/>
      <c r="L34" s="19"/>
      <c r="M34" s="13">
        <f t="shared" si="6"/>
        <v>1645.8000000000002</v>
      </c>
      <c r="N34" s="14">
        <f t="shared" si="0"/>
        <v>5000</v>
      </c>
      <c r="O34" s="5" t="s">
        <v>47</v>
      </c>
      <c r="P34" s="33">
        <f t="shared" si="1"/>
        <v>164.58000000000004</v>
      </c>
      <c r="Q34" s="33">
        <f t="shared" si="2"/>
        <v>177.74640000000005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2370.8000000000002</v>
      </c>
      <c r="I35" s="10">
        <v>0</v>
      </c>
      <c r="J35" s="10">
        <v>105</v>
      </c>
      <c r="K35" s="16">
        <v>913.35</v>
      </c>
      <c r="L35" s="19"/>
      <c r="M35" s="13">
        <f t="shared" si="6"/>
        <v>610.8499999999998</v>
      </c>
      <c r="N35" s="14">
        <f t="shared" si="0"/>
        <v>2981.65</v>
      </c>
      <c r="O35" s="5" t="s">
        <v>47</v>
      </c>
      <c r="P35" s="33">
        <f t="shared" si="1"/>
        <v>61.08499999999998</v>
      </c>
      <c r="Q35" s="33">
        <f t="shared" si="2"/>
        <v>65.971799999999988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2372.4</v>
      </c>
      <c r="I36" s="10">
        <v>75</v>
      </c>
      <c r="J36" s="10">
        <v>140</v>
      </c>
      <c r="K36" s="16">
        <v>1025.06</v>
      </c>
      <c r="L36" s="12"/>
      <c r="M36" s="13">
        <f t="shared" si="6"/>
        <v>1387.54</v>
      </c>
      <c r="N36" s="14">
        <f t="shared" si="0"/>
        <v>3759.94</v>
      </c>
      <c r="O36" s="5" t="s">
        <v>47</v>
      </c>
      <c r="P36" s="33">
        <f t="shared" si="1"/>
        <v>138.75399999999999</v>
      </c>
      <c r="Q36" s="33">
        <f t="shared" si="2"/>
        <v>149.85432</v>
      </c>
    </row>
    <row r="37" spans="1:17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3354.4</v>
      </c>
      <c r="I37" s="10">
        <v>0</v>
      </c>
      <c r="J37" s="10">
        <v>0</v>
      </c>
      <c r="K37" s="11"/>
      <c r="L37" s="19"/>
      <c r="M37" s="13">
        <f t="shared" si="6"/>
        <v>645.59999999999991</v>
      </c>
      <c r="N37" s="14">
        <f t="shared" si="0"/>
        <v>4000</v>
      </c>
      <c r="O37" s="5" t="s">
        <v>47</v>
      </c>
      <c r="P37" s="33">
        <f t="shared" si="1"/>
        <v>64.559999999999988</v>
      </c>
      <c r="Q37" s="33">
        <f t="shared" si="2"/>
        <v>69.724799999999988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3120.2</v>
      </c>
      <c r="I38" s="10">
        <v>0</v>
      </c>
      <c r="J38" s="10">
        <v>175</v>
      </c>
      <c r="K38" s="21">
        <v>293.92</v>
      </c>
      <c r="L38" s="19"/>
      <c r="M38" s="13">
        <f t="shared" si="6"/>
        <v>3410.88</v>
      </c>
      <c r="N38" s="14">
        <f>H38+M38</f>
        <v>6531.08</v>
      </c>
      <c r="O38" s="5" t="s">
        <v>47</v>
      </c>
      <c r="P38" s="33">
        <f t="shared" si="1"/>
        <v>341.08800000000002</v>
      </c>
      <c r="Q38" s="33">
        <f t="shared" si="2"/>
        <v>368.37504000000007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3320</v>
      </c>
      <c r="I39" s="10">
        <v>75</v>
      </c>
      <c r="J39" s="10">
        <v>105</v>
      </c>
      <c r="K39" s="21"/>
      <c r="L39" s="19"/>
      <c r="M39" s="22">
        <f>C39-H39-I39+L39-K39-J39</f>
        <v>0</v>
      </c>
      <c r="N39" s="14">
        <f t="shared" si="0"/>
        <v>3320</v>
      </c>
      <c r="O39" s="5" t="s">
        <v>47</v>
      </c>
      <c r="P39" s="33">
        <f t="shared" si="1"/>
        <v>0</v>
      </c>
      <c r="Q39" s="33">
        <f t="shared" si="2"/>
        <v>0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3081.2</v>
      </c>
      <c r="I40" s="10">
        <v>0</v>
      </c>
      <c r="J40" s="10">
        <v>0</v>
      </c>
      <c r="K40" s="21">
        <v>293.92</v>
      </c>
      <c r="L40" s="19"/>
      <c r="M40" s="98">
        <f>C40-H40-I40+L40-K40-J40+0.12</f>
        <v>1.659783421814609E-13</v>
      </c>
      <c r="N40" s="14">
        <f t="shared" si="0"/>
        <v>3081.2</v>
      </c>
      <c r="O40" s="5" t="s">
        <v>47</v>
      </c>
      <c r="P40" s="33">
        <f t="shared" si="1"/>
        <v>1.659783421814609E-14</v>
      </c>
      <c r="Q40" s="33">
        <f t="shared" si="2"/>
        <v>1.7925660955597778E-14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3354.2</v>
      </c>
      <c r="I41" s="10">
        <v>75</v>
      </c>
      <c r="J41" s="10">
        <v>140</v>
      </c>
      <c r="K41" s="11"/>
      <c r="L41" s="19"/>
      <c r="M41" s="13">
        <f t="shared" si="6"/>
        <v>1430.8000000000002</v>
      </c>
      <c r="N41" s="14">
        <f t="shared" si="0"/>
        <v>4785</v>
      </c>
      <c r="O41" s="5" t="s">
        <v>47</v>
      </c>
      <c r="P41" s="33">
        <f t="shared" si="1"/>
        <v>143.08000000000001</v>
      </c>
      <c r="Q41" s="33">
        <f t="shared" si="2"/>
        <v>154.52640000000002</v>
      </c>
    </row>
    <row r="42" spans="1:17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3354.2</v>
      </c>
      <c r="I42" s="10">
        <v>0</v>
      </c>
      <c r="J42" s="10">
        <v>105</v>
      </c>
      <c r="K42" s="21"/>
      <c r="L42" s="19"/>
      <c r="M42" s="22">
        <f>C42-H42-I42+L42-K42-J42</f>
        <v>40.800000000000182</v>
      </c>
      <c r="N42" s="14">
        <f t="shared" si="0"/>
        <v>3395</v>
      </c>
      <c r="O42" s="5" t="s">
        <v>47</v>
      </c>
      <c r="P42" s="33">
        <f t="shared" si="1"/>
        <v>4.0800000000000187</v>
      </c>
      <c r="Q42" s="33">
        <f t="shared" si="2"/>
        <v>4.4064000000000201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3354.2</v>
      </c>
      <c r="I43" s="10">
        <v>0</v>
      </c>
      <c r="J43" s="10">
        <v>0</v>
      </c>
      <c r="K43" s="11"/>
      <c r="L43" s="19"/>
      <c r="M43" s="13">
        <f t="shared" si="6"/>
        <v>1645.8000000000002</v>
      </c>
      <c r="N43" s="14">
        <f t="shared" si="0"/>
        <v>5000</v>
      </c>
      <c r="O43" s="5" t="s">
        <v>47</v>
      </c>
      <c r="P43" s="33">
        <f t="shared" si="1"/>
        <v>164.58000000000004</v>
      </c>
      <c r="Q43" s="33">
        <f t="shared" si="2"/>
        <v>177.74640000000005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3354.2</v>
      </c>
      <c r="I44" s="10">
        <v>0</v>
      </c>
      <c r="J44" s="10">
        <v>0</v>
      </c>
      <c r="K44" s="11"/>
      <c r="L44" s="19"/>
      <c r="M44" s="13">
        <f t="shared" si="6"/>
        <v>5395.8</v>
      </c>
      <c r="N44" s="14">
        <f t="shared" si="0"/>
        <v>8750</v>
      </c>
      <c r="O44" s="5" t="s">
        <v>47</v>
      </c>
      <c r="P44" s="33">
        <f t="shared" si="1"/>
        <v>539.58000000000004</v>
      </c>
      <c r="Q44" s="33">
        <f t="shared" si="2"/>
        <v>582.74640000000011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3432.2</v>
      </c>
      <c r="I45" s="10">
        <v>0</v>
      </c>
      <c r="J45" s="10">
        <v>70</v>
      </c>
      <c r="K45" s="21"/>
      <c r="L45" s="19">
        <v>357.14</v>
      </c>
      <c r="M45" s="13">
        <f t="shared" si="6"/>
        <v>1854.94</v>
      </c>
      <c r="N45" s="14">
        <f t="shared" si="0"/>
        <v>5287.1399999999994</v>
      </c>
      <c r="O45" s="5" t="s">
        <v>47</v>
      </c>
      <c r="P45" s="33">
        <f t="shared" si="1"/>
        <v>185.49400000000003</v>
      </c>
      <c r="Q45" s="33">
        <f t="shared" si="2"/>
        <v>200.33352000000005</v>
      </c>
    </row>
    <row r="46" spans="1:17" s="55" customFormat="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3354.4</v>
      </c>
      <c r="I46" s="10">
        <v>0</v>
      </c>
      <c r="J46" s="10">
        <v>0</v>
      </c>
      <c r="K46" s="11"/>
      <c r="L46" s="19"/>
      <c r="M46" s="13">
        <f t="shared" si="6"/>
        <v>645.59999999999991</v>
      </c>
      <c r="N46" s="14">
        <f t="shared" si="0"/>
        <v>4000</v>
      </c>
      <c r="O46" s="5" t="s">
        <v>47</v>
      </c>
      <c r="P46" s="33">
        <f t="shared" si="1"/>
        <v>64.559999999999988</v>
      </c>
      <c r="Q46" s="33">
        <f t="shared" si="2"/>
        <v>69.724799999999988</v>
      </c>
    </row>
    <row r="47" spans="1:17" s="55" customFormat="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3354.2</v>
      </c>
      <c r="I47" s="10">
        <v>0</v>
      </c>
      <c r="J47" s="10">
        <v>0</v>
      </c>
      <c r="K47" s="21"/>
      <c r="L47" s="12"/>
      <c r="M47" s="13">
        <f t="shared" si="6"/>
        <v>645.80000000000018</v>
      </c>
      <c r="N47" s="14">
        <f t="shared" si="0"/>
        <v>4000</v>
      </c>
      <c r="O47" s="5" t="s">
        <v>47</v>
      </c>
      <c r="P47" s="33">
        <f t="shared" si="1"/>
        <v>64.580000000000027</v>
      </c>
      <c r="Q47" s="33">
        <f t="shared" si="2"/>
        <v>69.746400000000037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>
        <v>75</v>
      </c>
      <c r="J48" s="10">
        <v>0</v>
      </c>
      <c r="K48" s="11"/>
      <c r="L48" s="19"/>
      <c r="M48" s="13">
        <f t="shared" si="6"/>
        <v>570.59999999999991</v>
      </c>
      <c r="N48" s="14">
        <f t="shared" si="0"/>
        <v>3925</v>
      </c>
      <c r="O48" s="5" t="s">
        <v>47</v>
      </c>
      <c r="P48" s="33">
        <f t="shared" si="1"/>
        <v>57.059999999999995</v>
      </c>
      <c r="Q48" s="33">
        <f t="shared" si="2"/>
        <v>61.6248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>
        <v>75</v>
      </c>
      <c r="J49" s="10">
        <v>140</v>
      </c>
      <c r="K49" s="11"/>
      <c r="L49" s="19"/>
      <c r="M49" s="13">
        <f t="shared" si="6"/>
        <v>1430.8000000000002</v>
      </c>
      <c r="N49" s="14">
        <f t="shared" si="0"/>
        <v>4785</v>
      </c>
      <c r="O49" s="5" t="s">
        <v>47</v>
      </c>
      <c r="P49" s="33">
        <f t="shared" si="1"/>
        <v>143.08000000000001</v>
      </c>
      <c r="Q49" s="33">
        <f t="shared" si="2"/>
        <v>154.52640000000002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3354.2</v>
      </c>
      <c r="I50" s="10">
        <v>0</v>
      </c>
      <c r="J50" s="10">
        <v>0</v>
      </c>
      <c r="K50" s="11"/>
      <c r="L50" s="19"/>
      <c r="M50" s="13">
        <f t="shared" si="6"/>
        <v>145.80000000000018</v>
      </c>
      <c r="N50" s="14">
        <f t="shared" si="0"/>
        <v>3500</v>
      </c>
      <c r="O50" s="5" t="s">
        <v>47</v>
      </c>
      <c r="P50" s="33">
        <f t="shared" si="1"/>
        <v>14.58000000000002</v>
      </c>
      <c r="Q50" s="33">
        <f t="shared" si="2"/>
        <v>15.746400000000023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3354.2</v>
      </c>
      <c r="I51" s="10">
        <v>0</v>
      </c>
      <c r="J51" s="10">
        <v>0</v>
      </c>
      <c r="K51" s="11"/>
      <c r="L51" s="19"/>
      <c r="M51" s="13">
        <f t="shared" si="6"/>
        <v>145.80000000000018</v>
      </c>
      <c r="N51" s="14">
        <f t="shared" si="0"/>
        <v>3500</v>
      </c>
      <c r="O51" s="5" t="s">
        <v>47</v>
      </c>
      <c r="P51" s="33">
        <f t="shared" si="1"/>
        <v>14.58000000000002</v>
      </c>
      <c r="Q51" s="33">
        <f t="shared" si="2"/>
        <v>15.746400000000023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0</v>
      </c>
      <c r="J52" s="10">
        <v>70</v>
      </c>
      <c r="K52" s="11"/>
      <c r="L52" s="19"/>
      <c r="M52" s="13">
        <f t="shared" si="6"/>
        <v>825.59999999999991</v>
      </c>
      <c r="N52" s="14">
        <f t="shared" si="0"/>
        <v>4180</v>
      </c>
      <c r="O52" s="5" t="s">
        <v>47</v>
      </c>
      <c r="P52" s="33">
        <f t="shared" si="1"/>
        <v>82.56</v>
      </c>
      <c r="Q52" s="33">
        <f t="shared" si="2"/>
        <v>89.164800000000014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3354.2</v>
      </c>
      <c r="I53" s="10">
        <v>0</v>
      </c>
      <c r="J53" s="10">
        <v>70</v>
      </c>
      <c r="K53" s="11"/>
      <c r="L53" s="12"/>
      <c r="M53" s="13">
        <f t="shared" si="6"/>
        <v>575.80000000000018</v>
      </c>
      <c r="N53" s="14">
        <f t="shared" si="0"/>
        <v>3930</v>
      </c>
      <c r="O53" s="5" t="s">
        <v>47</v>
      </c>
      <c r="P53" s="33">
        <f t="shared" si="1"/>
        <v>57.58000000000002</v>
      </c>
      <c r="Q53" s="33">
        <f t="shared" si="2"/>
        <v>62.186400000000027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3354.2</v>
      </c>
      <c r="I54" s="10">
        <v>75</v>
      </c>
      <c r="J54" s="10">
        <v>175</v>
      </c>
      <c r="K54" s="11"/>
      <c r="L54" s="12"/>
      <c r="M54" s="22">
        <f>C54-H54-I54+L54-K54-J54+0.02</f>
        <v>395.82000000000016</v>
      </c>
      <c r="N54" s="14">
        <f t="shared" si="0"/>
        <v>3750.02</v>
      </c>
      <c r="O54" s="5" t="s">
        <v>47</v>
      </c>
      <c r="P54" s="33">
        <f t="shared" si="1"/>
        <v>39.582000000000022</v>
      </c>
      <c r="Q54" s="33">
        <f t="shared" si="2"/>
        <v>42.748560000000026</v>
      </c>
    </row>
    <row r="55" spans="1:18" x14ac:dyDescent="0.25">
      <c r="A55" s="5">
        <v>295</v>
      </c>
      <c r="B55" s="6" t="s">
        <v>104</v>
      </c>
      <c r="C55" s="7">
        <v>5500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75</v>
      </c>
      <c r="J55" s="10">
        <v>0</v>
      </c>
      <c r="K55" s="11"/>
      <c r="L55" s="12"/>
      <c r="M55" s="22">
        <f>C55-H55-I55+L55-K55-J55+0.02</f>
        <v>2070.62</v>
      </c>
      <c r="N55" s="14">
        <f t="shared" si="0"/>
        <v>5425.02</v>
      </c>
      <c r="O55" s="5" t="s">
        <v>47</v>
      </c>
      <c r="P55" s="33">
        <f t="shared" si="1"/>
        <v>207.06200000000001</v>
      </c>
      <c r="Q55" s="33">
        <f t="shared" si="2"/>
        <v>223.62696000000003</v>
      </c>
    </row>
    <row r="56" spans="1:18" x14ac:dyDescent="0.25">
      <c r="A56" s="5">
        <v>296</v>
      </c>
      <c r="B56" s="6" t="s">
        <v>107</v>
      </c>
      <c r="C56" s="7">
        <v>5000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3354.4</v>
      </c>
      <c r="I56" s="10">
        <v>0</v>
      </c>
      <c r="J56" s="10">
        <v>0</v>
      </c>
      <c r="K56" s="11"/>
      <c r="L56" s="12"/>
      <c r="M56" s="22">
        <f>C56-H56-I56+L56-K56-J56+0.02</f>
        <v>1645.62</v>
      </c>
      <c r="N56" s="14">
        <f t="shared" si="0"/>
        <v>5000.0200000000004</v>
      </c>
      <c r="O56" s="5" t="s">
        <v>47</v>
      </c>
      <c r="P56" s="33">
        <f t="shared" si="1"/>
        <v>164.56200000000001</v>
      </c>
      <c r="Q56" s="33">
        <f t="shared" si="2"/>
        <v>177.72696000000002</v>
      </c>
    </row>
    <row r="57" spans="1:18" x14ac:dyDescent="0.25">
      <c r="A57" s="5">
        <v>297</v>
      </c>
      <c r="B57" s="6" t="s">
        <v>110</v>
      </c>
      <c r="C57" s="7">
        <v>4000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2879.2</v>
      </c>
      <c r="I57" s="10">
        <v>0</v>
      </c>
      <c r="J57" s="10">
        <v>0</v>
      </c>
      <c r="K57" s="11">
        <v>668.56</v>
      </c>
      <c r="L57" s="12"/>
      <c r="M57" s="22">
        <f>C57-H57-I57+L57-K57-J57+0.02</f>
        <v>452.26000000000022</v>
      </c>
      <c r="N57" s="14">
        <f t="shared" si="0"/>
        <v>3331.46</v>
      </c>
      <c r="O57" s="5" t="s">
        <v>47</v>
      </c>
      <c r="P57" s="33">
        <f t="shared" si="1"/>
        <v>45.226000000000028</v>
      </c>
      <c r="Q57" s="33">
        <f t="shared" si="2"/>
        <v>48.844080000000034</v>
      </c>
    </row>
    <row r="58" spans="1:18" ht="16.149999999999999" customHeight="1" thickBot="1" x14ac:dyDescent="0.3"/>
    <row r="59" spans="1:18" ht="18" thickBot="1" x14ac:dyDescent="0.35">
      <c r="A59" s="23"/>
      <c r="B59" s="24"/>
      <c r="C59" s="25">
        <f t="shared" ref="C59:N59" si="7">SUM(C4:C58)</f>
        <v>265625</v>
      </c>
      <c r="D59" s="25">
        <f t="shared" si="7"/>
        <v>22673.52</v>
      </c>
      <c r="E59" s="25">
        <f t="shared" si="7"/>
        <v>133521.83999999997</v>
      </c>
      <c r="F59" s="25">
        <f t="shared" si="7"/>
        <v>22253.64</v>
      </c>
      <c r="G59" s="25">
        <f t="shared" si="7"/>
        <v>155775.48000000013</v>
      </c>
      <c r="H59" s="25">
        <f>SUM(H4:H58)</f>
        <v>171400.19999999998</v>
      </c>
      <c r="I59" s="26">
        <f t="shared" si="7"/>
        <v>1425</v>
      </c>
      <c r="J59" s="26">
        <f t="shared" si="7"/>
        <v>3570</v>
      </c>
      <c r="K59" s="26">
        <f t="shared" si="7"/>
        <v>10482.16</v>
      </c>
      <c r="L59" s="27">
        <f t="shared" si="7"/>
        <v>723.2</v>
      </c>
      <c r="M59" s="25">
        <f t="shared" si="7"/>
        <v>79471.270000000048</v>
      </c>
      <c r="N59" s="25">
        <f t="shared" si="7"/>
        <v>250871.46999999997</v>
      </c>
      <c r="P59" s="25">
        <f>SUM(P4:P58)</f>
        <v>7947.1270000000004</v>
      </c>
      <c r="Q59" s="25">
        <f>SUM(Q4:Q58)</f>
        <v>8582.8971600000023</v>
      </c>
      <c r="R59" s="55">
        <f>+N59+Q59</f>
        <v>259454.36715999997</v>
      </c>
    </row>
    <row r="60" spans="1:18" x14ac:dyDescent="0.25">
      <c r="H60" s="15"/>
      <c r="M60" s="15"/>
    </row>
    <row r="61" spans="1:18" x14ac:dyDescent="0.25">
      <c r="H61" s="15"/>
      <c r="I61">
        <f>+I59/75</f>
        <v>19</v>
      </c>
      <c r="J61" s="28">
        <f>SUM(J59)/35</f>
        <v>102</v>
      </c>
      <c r="R61" s="55">
        <v>12886.8</v>
      </c>
    </row>
    <row r="62" spans="1:18" x14ac:dyDescent="0.25">
      <c r="F62" s="15"/>
      <c r="H62" s="15">
        <f>H59+M59</f>
        <v>250871.47000000003</v>
      </c>
      <c r="K62" s="15"/>
    </row>
    <row r="63" spans="1:18" x14ac:dyDescent="0.25">
      <c r="H63" s="15">
        <f>'[1]Nom 9'!$H$53</f>
        <v>131178.05999999994</v>
      </c>
      <c r="I63" s="40"/>
      <c r="J63" s="15"/>
    </row>
    <row r="64" spans="1:18" x14ac:dyDescent="0.25">
      <c r="H64" s="15">
        <f>[2]Rino!$H$8</f>
        <v>75398.810000000012</v>
      </c>
    </row>
    <row r="65" spans="8:10" x14ac:dyDescent="0.25">
      <c r="H65" s="15">
        <f>H63+H64</f>
        <v>206576.86999999994</v>
      </c>
    </row>
    <row r="70" spans="8:10" x14ac:dyDescent="0.25">
      <c r="J70" s="15" t="e">
        <f>(H59-#REF!-#REF!)+3354.4+2879</f>
        <v>#REF!</v>
      </c>
    </row>
  </sheetData>
  <autoFilter ref="A3:Q57" xr:uid="{00000000-0009-0000-0000-000015000000}"/>
  <mergeCells count="2">
    <mergeCell ref="A1:N1"/>
    <mergeCell ref="A2:N2"/>
  </mergeCells>
  <pageMargins left="0.25" right="0.25" top="0.75" bottom="0.75" header="0.3" footer="0.3"/>
  <pageSetup scale="48" fitToWidth="0" orientation="landscape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3">
    <pageSetUpPr fitToPage="1"/>
  </sheetPr>
  <dimension ref="A1:R70"/>
  <sheetViews>
    <sheetView showGridLines="0" topLeftCell="A8" zoomScaleNormal="100" workbookViewId="0">
      <selection activeCell="L15" sqref="L15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112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7" si="0">H4+M4</f>
        <v>0</v>
      </c>
      <c r="O4" s="81" t="s">
        <v>48</v>
      </c>
      <c r="P4" s="82">
        <f t="shared" ref="P4:P57" si="1">+M4*0.1</f>
        <v>0</v>
      </c>
      <c r="Q4" s="82">
        <f t="shared" ref="Q4:Q57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7" si="3">D5*6</f>
        <v>2519.2799999999997</v>
      </c>
      <c r="F5" s="8">
        <f t="shared" ref="F5:F57" si="4">$D$4</f>
        <v>419.88</v>
      </c>
      <c r="G5" s="9">
        <f t="shared" ref="G5:G57" si="5">E5+F5</f>
        <v>2939.16</v>
      </c>
      <c r="H5" s="37">
        <v>3101.8</v>
      </c>
      <c r="I5" s="10">
        <v>300</v>
      </c>
      <c r="J5" s="10">
        <v>0</v>
      </c>
      <c r="K5" s="11"/>
      <c r="L5" s="12"/>
      <c r="M5" s="13">
        <f>C5-H5-I5+L5-K5-J5</f>
        <v>598.19999999999982</v>
      </c>
      <c r="N5" s="14">
        <f t="shared" si="0"/>
        <v>3700</v>
      </c>
      <c r="O5" s="29" t="s">
        <v>47</v>
      </c>
      <c r="P5" s="33">
        <f t="shared" si="1"/>
        <v>59.819999999999986</v>
      </c>
      <c r="Q5" s="33">
        <f t="shared" si="2"/>
        <v>64.605599999999995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3179.6</v>
      </c>
      <c r="I6" s="18">
        <v>0</v>
      </c>
      <c r="J6" s="18">
        <v>105</v>
      </c>
      <c r="K6" s="21"/>
      <c r="L6" s="19">
        <v>1071.1300000000001</v>
      </c>
      <c r="M6" s="13">
        <f t="shared" ref="M6:M53" si="6">C6-H6-I6+L6-K6-J6</f>
        <v>12786.529999999999</v>
      </c>
      <c r="N6" s="14">
        <f>H6+M6</f>
        <v>15966.13</v>
      </c>
      <c r="O6" s="30" t="s">
        <v>118</v>
      </c>
      <c r="P6" s="33">
        <f t="shared" si="1"/>
        <v>1278.653</v>
      </c>
      <c r="Q6" s="33">
        <f t="shared" si="2"/>
        <v>1380.94524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3101.8</v>
      </c>
      <c r="I7" s="10">
        <v>150</v>
      </c>
      <c r="J7" s="10">
        <v>35</v>
      </c>
      <c r="K7" s="21"/>
      <c r="L7" s="12"/>
      <c r="M7" s="13">
        <f t="shared" si="6"/>
        <v>1713.1999999999998</v>
      </c>
      <c r="N7" s="14">
        <f t="shared" si="0"/>
        <v>4815</v>
      </c>
      <c r="O7" s="36" t="s">
        <v>118</v>
      </c>
      <c r="P7" s="33">
        <f t="shared" si="1"/>
        <v>171.32</v>
      </c>
      <c r="Q7" s="33">
        <f t="shared" si="2"/>
        <v>185.0256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3106.2</v>
      </c>
      <c r="I8" s="10">
        <v>375</v>
      </c>
      <c r="J8" s="10">
        <v>35</v>
      </c>
      <c r="K8" s="11"/>
      <c r="L8" s="12"/>
      <c r="M8" s="13">
        <f t="shared" si="6"/>
        <v>983.80000000000018</v>
      </c>
      <c r="N8" s="14">
        <f t="shared" si="0"/>
        <v>4090</v>
      </c>
      <c r="O8" s="30" t="s">
        <v>118</v>
      </c>
      <c r="P8" s="33">
        <f t="shared" si="1"/>
        <v>98.380000000000024</v>
      </c>
      <c r="Q8" s="33">
        <f t="shared" si="2"/>
        <v>106.25040000000003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3114.8</v>
      </c>
      <c r="I9" s="10">
        <v>225</v>
      </c>
      <c r="J9" s="10">
        <v>140</v>
      </c>
      <c r="K9" s="21"/>
      <c r="L9" s="12"/>
      <c r="M9" s="22">
        <f>C9-H9-I9+L9-K9-J9</f>
        <v>520.19999999999982</v>
      </c>
      <c r="N9" s="14">
        <f t="shared" si="0"/>
        <v>3635</v>
      </c>
      <c r="O9" s="30" t="s">
        <v>47</v>
      </c>
      <c r="P9" s="33">
        <f t="shared" si="1"/>
        <v>52.019999999999982</v>
      </c>
      <c r="Q9" s="33">
        <f t="shared" si="2"/>
        <v>56.181599999999982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3102</v>
      </c>
      <c r="I10" s="10">
        <v>0</v>
      </c>
      <c r="J10" s="10">
        <v>0</v>
      </c>
      <c r="K10" s="20"/>
      <c r="L10" s="19"/>
      <c r="M10" s="13">
        <f t="shared" si="6"/>
        <v>898</v>
      </c>
      <c r="N10" s="14">
        <f t="shared" si="0"/>
        <v>4000</v>
      </c>
      <c r="O10" s="30" t="s">
        <v>49</v>
      </c>
      <c r="P10" s="33">
        <f t="shared" si="1"/>
        <v>89.800000000000011</v>
      </c>
      <c r="Q10" s="33">
        <f t="shared" si="2"/>
        <v>96.984000000000023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3102</v>
      </c>
      <c r="I11" s="10">
        <v>0</v>
      </c>
      <c r="J11" s="10">
        <v>105</v>
      </c>
      <c r="K11" s="11"/>
      <c r="L11" s="12"/>
      <c r="M11" s="13">
        <f>C11-H11-I11+L11-K11-J11</f>
        <v>3793</v>
      </c>
      <c r="N11" s="14">
        <f t="shared" si="0"/>
        <v>6895</v>
      </c>
      <c r="O11" s="30" t="s">
        <v>118</v>
      </c>
      <c r="P11" s="33">
        <f t="shared" si="1"/>
        <v>379.3</v>
      </c>
      <c r="Q11" s="33">
        <f t="shared" si="2"/>
        <v>409.64400000000006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3102</v>
      </c>
      <c r="I12" s="10">
        <v>150</v>
      </c>
      <c r="J12" s="10">
        <v>70</v>
      </c>
      <c r="K12" s="11"/>
      <c r="L12" s="12"/>
      <c r="M12" s="13">
        <f>C12-H12-I12+L12-K12-J12</f>
        <v>1678</v>
      </c>
      <c r="N12" s="14">
        <f t="shared" si="0"/>
        <v>4780</v>
      </c>
      <c r="O12" s="30">
        <v>0.03</v>
      </c>
      <c r="P12" s="33">
        <f t="shared" si="1"/>
        <v>167.8</v>
      </c>
      <c r="Q12" s="33">
        <f t="shared" si="2"/>
        <v>181.22400000000002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3103.6</v>
      </c>
      <c r="I13" s="10">
        <v>225</v>
      </c>
      <c r="J13" s="10">
        <v>105</v>
      </c>
      <c r="K13" s="21"/>
      <c r="L13" s="12"/>
      <c r="M13" s="13">
        <f>C13-H13-I13+L13-K13-J13</f>
        <v>66.400000000000091</v>
      </c>
      <c r="N13" s="14">
        <f t="shared" si="0"/>
        <v>3170</v>
      </c>
      <c r="O13" s="30">
        <v>0.03</v>
      </c>
      <c r="P13" s="33">
        <f t="shared" si="1"/>
        <v>6.6400000000000095</v>
      </c>
      <c r="Q13" s="33">
        <f t="shared" si="2"/>
        <v>7.1712000000000105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2681.4</v>
      </c>
      <c r="I14" s="10">
        <v>375</v>
      </c>
      <c r="J14" s="10">
        <v>175</v>
      </c>
      <c r="K14" s="21">
        <v>587.84</v>
      </c>
      <c r="L14" s="12"/>
      <c r="M14" s="22">
        <f>C14-H14-I14+L14-K14-J14</f>
        <v>180.75999999999988</v>
      </c>
      <c r="N14" s="14">
        <f t="shared" si="0"/>
        <v>2862.16</v>
      </c>
      <c r="O14" s="36" t="s">
        <v>50</v>
      </c>
      <c r="P14" s="33">
        <f t="shared" si="1"/>
        <v>18.07599999999999</v>
      </c>
      <c r="Q14" s="33">
        <f t="shared" si="2"/>
        <v>19.522079999999992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3257.6</v>
      </c>
      <c r="I15" s="10">
        <v>0</v>
      </c>
      <c r="J15" s="10">
        <v>0</v>
      </c>
      <c r="K15" s="21"/>
      <c r="L15" s="19">
        <v>571.42999999999995</v>
      </c>
      <c r="M15" s="13">
        <f t="shared" si="6"/>
        <v>1313.83</v>
      </c>
      <c r="N15" s="14">
        <f t="shared" si="0"/>
        <v>4571.43</v>
      </c>
      <c r="O15" s="30" t="s">
        <v>47</v>
      </c>
      <c r="P15" s="33">
        <f t="shared" si="1"/>
        <v>131.38300000000001</v>
      </c>
      <c r="Q15" s="33">
        <f t="shared" si="2"/>
        <v>141.89364000000003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2873.6</v>
      </c>
      <c r="I16" s="10">
        <v>375</v>
      </c>
      <c r="J16" s="10">
        <v>175</v>
      </c>
      <c r="K16" s="21">
        <v>293.92</v>
      </c>
      <c r="L16" s="12"/>
      <c r="M16" s="13">
        <f>C16-H16-I16+L16-K16-J16</f>
        <v>282.48000000000008</v>
      </c>
      <c r="N16" s="14">
        <f t="shared" si="0"/>
        <v>3156.08</v>
      </c>
      <c r="O16" s="29">
        <v>0.03</v>
      </c>
      <c r="P16" s="33">
        <f t="shared" si="1"/>
        <v>28.248000000000008</v>
      </c>
      <c r="Q16" s="33">
        <f t="shared" si="2"/>
        <v>30.507840000000012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3110.4</v>
      </c>
      <c r="I17" s="10">
        <v>0</v>
      </c>
      <c r="J17" s="10">
        <v>0</v>
      </c>
      <c r="K17" s="21"/>
      <c r="L17" s="19"/>
      <c r="M17" s="13">
        <f t="shared" si="6"/>
        <v>889.59999999999991</v>
      </c>
      <c r="N17" s="14">
        <f t="shared" si="0"/>
        <v>4000</v>
      </c>
      <c r="O17" s="29" t="s">
        <v>48</v>
      </c>
      <c r="P17" s="33">
        <f t="shared" si="1"/>
        <v>88.96</v>
      </c>
      <c r="Q17" s="33">
        <f t="shared" si="2"/>
        <v>96.076800000000006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3143.6</v>
      </c>
      <c r="I18" s="10">
        <v>75</v>
      </c>
      <c r="J18" s="10">
        <v>105</v>
      </c>
      <c r="K18" s="21"/>
      <c r="L18" s="12"/>
      <c r="M18" s="13">
        <f t="shared" si="6"/>
        <v>676.40000000000009</v>
      </c>
      <c r="N18" s="14">
        <f t="shared" si="0"/>
        <v>3820</v>
      </c>
      <c r="O18" s="29">
        <v>0.03</v>
      </c>
      <c r="P18" s="33">
        <f t="shared" si="1"/>
        <v>67.640000000000015</v>
      </c>
      <c r="Q18" s="33">
        <f t="shared" si="2"/>
        <v>73.051200000000023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2123.6</v>
      </c>
      <c r="I19" s="10">
        <v>0</v>
      </c>
      <c r="J19" s="10">
        <v>0</v>
      </c>
      <c r="K19" s="16">
        <v>908.03</v>
      </c>
      <c r="L19" s="12"/>
      <c r="M19" s="13">
        <f t="shared" si="6"/>
        <v>6968.37</v>
      </c>
      <c r="N19" s="14">
        <f t="shared" si="0"/>
        <v>9091.9699999999993</v>
      </c>
      <c r="O19" s="29" t="s">
        <v>50</v>
      </c>
      <c r="P19" s="33">
        <f t="shared" si="1"/>
        <v>696.83699999999999</v>
      </c>
      <c r="Q19" s="33">
        <f t="shared" si="2"/>
        <v>752.58396000000005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2873.8</v>
      </c>
      <c r="I20" s="10">
        <v>375</v>
      </c>
      <c r="J20" s="10">
        <v>175</v>
      </c>
      <c r="K20" s="21">
        <v>293.92</v>
      </c>
      <c r="L20" s="19"/>
      <c r="M20" s="13">
        <f t="shared" si="6"/>
        <v>4282.28</v>
      </c>
      <c r="N20" s="14">
        <f t="shared" si="0"/>
        <v>7156.08</v>
      </c>
      <c r="O20" s="29">
        <v>0.03</v>
      </c>
      <c r="P20" s="33">
        <f t="shared" si="1"/>
        <v>428.22800000000001</v>
      </c>
      <c r="Q20" s="33">
        <f t="shared" si="2"/>
        <v>462.48624000000007</v>
      </c>
    </row>
    <row r="21" spans="1:17" s="55" customFormat="1" ht="13.5" customHeight="1" x14ac:dyDescent="0.25">
      <c r="A21" s="5">
        <v>204</v>
      </c>
      <c r="B21" s="6" t="s">
        <v>33</v>
      </c>
      <c r="C21" s="7">
        <v>5000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3101.8</v>
      </c>
      <c r="I21" s="10">
        <v>225</v>
      </c>
      <c r="J21" s="10">
        <v>35</v>
      </c>
      <c r="K21" s="11"/>
      <c r="L21" s="19"/>
      <c r="M21" s="13">
        <f t="shared" si="6"/>
        <v>1638.1999999999998</v>
      </c>
      <c r="N21" s="14">
        <f t="shared" si="0"/>
        <v>4740</v>
      </c>
      <c r="O21" s="29" t="s">
        <v>118</v>
      </c>
      <c r="P21" s="33">
        <f t="shared" si="1"/>
        <v>163.82</v>
      </c>
      <c r="Q21" s="33">
        <f t="shared" si="2"/>
        <v>176.9256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3101.8</v>
      </c>
      <c r="I22" s="10">
        <v>0</v>
      </c>
      <c r="J22" s="10">
        <v>0</v>
      </c>
      <c r="K22" s="11"/>
      <c r="L22" s="12"/>
      <c r="M22" s="13">
        <f t="shared" si="6"/>
        <v>898.19999999999982</v>
      </c>
      <c r="N22" s="14">
        <f t="shared" si="0"/>
        <v>4000</v>
      </c>
      <c r="O22" s="29" t="s">
        <v>50</v>
      </c>
      <c r="P22" s="33">
        <f t="shared" si="1"/>
        <v>89.82</v>
      </c>
      <c r="Q22" s="33">
        <f t="shared" si="2"/>
        <v>97.005600000000001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3104.8</v>
      </c>
      <c r="I23" s="10">
        <v>150</v>
      </c>
      <c r="J23" s="10">
        <v>105</v>
      </c>
      <c r="K23" s="21"/>
      <c r="L23" s="19"/>
      <c r="M23" s="13">
        <f t="shared" si="6"/>
        <v>1640.1999999999998</v>
      </c>
      <c r="N23" s="14">
        <f t="shared" si="0"/>
        <v>4745</v>
      </c>
      <c r="O23" s="29" t="s">
        <v>118</v>
      </c>
      <c r="P23" s="33">
        <f t="shared" si="1"/>
        <v>164.01999999999998</v>
      </c>
      <c r="Q23" s="33">
        <f t="shared" si="2"/>
        <v>177.14159999999998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3103.2</v>
      </c>
      <c r="I24" s="10">
        <v>0</v>
      </c>
      <c r="J24" s="10">
        <v>0</v>
      </c>
      <c r="K24" s="12"/>
      <c r="L24" s="12"/>
      <c r="M24" s="13">
        <f t="shared" si="6"/>
        <v>396.80000000000018</v>
      </c>
      <c r="N24" s="14">
        <f t="shared" si="0"/>
        <v>3500</v>
      </c>
      <c r="O24" s="29" t="s">
        <v>49</v>
      </c>
      <c r="P24" s="33">
        <f t="shared" si="1"/>
        <v>39.680000000000021</v>
      </c>
      <c r="Q24" s="33">
        <f t="shared" si="2"/>
        <v>42.854400000000027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2714.2</v>
      </c>
      <c r="I25" s="10">
        <v>300</v>
      </c>
      <c r="J25" s="10">
        <v>140</v>
      </c>
      <c r="K25" s="21">
        <v>293.92</v>
      </c>
      <c r="L25" s="12"/>
      <c r="M25" s="22">
        <f>C25-H25-I25+L25-K25-J25</f>
        <v>551.88000000000011</v>
      </c>
      <c r="N25" s="14">
        <f t="shared" si="0"/>
        <v>3266.08</v>
      </c>
      <c r="O25" s="36">
        <v>0.03</v>
      </c>
      <c r="P25" s="33">
        <f t="shared" si="1"/>
        <v>55.188000000000017</v>
      </c>
      <c r="Q25" s="33">
        <f t="shared" si="2"/>
        <v>59.603040000000021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3102</v>
      </c>
      <c r="I26" s="10">
        <v>300</v>
      </c>
      <c r="J26" s="10">
        <v>175</v>
      </c>
      <c r="K26" s="21"/>
      <c r="L26" s="12"/>
      <c r="M26" s="13">
        <f t="shared" si="6"/>
        <v>1423</v>
      </c>
      <c r="N26" s="14">
        <f t="shared" si="0"/>
        <v>4525</v>
      </c>
      <c r="O26" s="29">
        <v>0.03</v>
      </c>
      <c r="P26" s="33">
        <f t="shared" si="1"/>
        <v>142.30000000000001</v>
      </c>
      <c r="Q26" s="33">
        <f t="shared" si="2"/>
        <v>153.68400000000003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3102</v>
      </c>
      <c r="I27" s="10">
        <v>375</v>
      </c>
      <c r="J27" s="10">
        <v>140</v>
      </c>
      <c r="K27" s="21"/>
      <c r="L27" s="19"/>
      <c r="M27" s="13">
        <f t="shared" si="6"/>
        <v>4383</v>
      </c>
      <c r="N27" s="14">
        <f t="shared" si="0"/>
        <v>7485</v>
      </c>
      <c r="O27" s="29" t="s">
        <v>118</v>
      </c>
      <c r="P27" s="33">
        <f t="shared" si="1"/>
        <v>438.3</v>
      </c>
      <c r="Q27" s="33">
        <f t="shared" si="2"/>
        <v>473.36400000000003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3127.8</v>
      </c>
      <c r="I28" s="10">
        <v>375</v>
      </c>
      <c r="J28" s="10">
        <v>175</v>
      </c>
      <c r="K28" s="21"/>
      <c r="L28" s="12"/>
      <c r="M28" s="13">
        <f t="shared" si="6"/>
        <v>2322.1999999999998</v>
      </c>
      <c r="N28" s="14">
        <f t="shared" si="0"/>
        <v>5450</v>
      </c>
      <c r="O28" s="29" t="s">
        <v>118</v>
      </c>
      <c r="P28" s="33">
        <f t="shared" si="1"/>
        <v>232.22</v>
      </c>
      <c r="Q28" s="33">
        <f t="shared" si="2"/>
        <v>250.79760000000002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3102</v>
      </c>
      <c r="I29" s="10">
        <v>375</v>
      </c>
      <c r="J29" s="10">
        <v>0</v>
      </c>
      <c r="K29" s="21"/>
      <c r="L29" s="19"/>
      <c r="M29" s="13">
        <f t="shared" si="6"/>
        <v>2773</v>
      </c>
      <c r="N29" s="14">
        <f t="shared" si="0"/>
        <v>5875</v>
      </c>
      <c r="O29" s="31" t="s">
        <v>118</v>
      </c>
      <c r="P29" s="33">
        <f t="shared" si="1"/>
        <v>277.3</v>
      </c>
      <c r="Q29" s="33">
        <f t="shared" si="2"/>
        <v>299.48400000000004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3102</v>
      </c>
      <c r="I30" s="10">
        <v>375</v>
      </c>
      <c r="J30" s="10">
        <v>70</v>
      </c>
      <c r="K30" s="11"/>
      <c r="L30" s="19"/>
      <c r="M30" s="13">
        <f>C30-H30-I30+L30-K30-J30</f>
        <v>1453</v>
      </c>
      <c r="N30" s="14">
        <f>H30+M30</f>
        <v>4555</v>
      </c>
      <c r="O30" s="29" t="s">
        <v>118</v>
      </c>
      <c r="P30" s="33">
        <f>+M30*0.1</f>
        <v>145.30000000000001</v>
      </c>
      <c r="Q30" s="33">
        <f t="shared" si="2"/>
        <v>156.92400000000004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3102</v>
      </c>
      <c r="I31" s="10">
        <v>0</v>
      </c>
      <c r="J31" s="10">
        <v>35</v>
      </c>
      <c r="K31" s="21"/>
      <c r="L31" s="12"/>
      <c r="M31" s="13">
        <f>C31-H31-I31+L31-K31-J31</f>
        <v>1863</v>
      </c>
      <c r="N31" s="14">
        <f t="shared" si="0"/>
        <v>4965</v>
      </c>
      <c r="O31" s="29">
        <v>0.03</v>
      </c>
      <c r="P31" s="33">
        <f t="shared" si="1"/>
        <v>186.3</v>
      </c>
      <c r="Q31" s="33">
        <f t="shared" si="2"/>
        <v>201.20400000000004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3101.8</v>
      </c>
      <c r="I32" s="10">
        <v>0</v>
      </c>
      <c r="J32" s="10">
        <v>0</v>
      </c>
      <c r="K32" s="11"/>
      <c r="L32" s="12"/>
      <c r="M32" s="13">
        <f t="shared" si="6"/>
        <v>1898.1999999999998</v>
      </c>
      <c r="N32" s="14">
        <f>H32+M32</f>
        <v>5000</v>
      </c>
      <c r="O32" s="34" t="s">
        <v>47</v>
      </c>
      <c r="P32" s="33">
        <f t="shared" si="1"/>
        <v>189.82</v>
      </c>
      <c r="Q32" s="33">
        <f t="shared" si="2"/>
        <v>205.00560000000002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2875.4</v>
      </c>
      <c r="I33" s="10">
        <v>150</v>
      </c>
      <c r="J33" s="10">
        <v>105</v>
      </c>
      <c r="K33" s="21">
        <v>293.92</v>
      </c>
      <c r="L33" s="12"/>
      <c r="M33" s="22">
        <f>C33-H33-I33+L33-K33-J33</f>
        <v>575.67999999999984</v>
      </c>
      <c r="N33" s="14">
        <f t="shared" si="0"/>
        <v>3451.08</v>
      </c>
      <c r="O33" s="5">
        <v>0.03</v>
      </c>
      <c r="P33" s="33">
        <f t="shared" si="1"/>
        <v>57.567999999999984</v>
      </c>
      <c r="Q33" s="33">
        <f t="shared" si="2"/>
        <v>62.173439999999985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3102</v>
      </c>
      <c r="I34" s="10">
        <v>0</v>
      </c>
      <c r="J34" s="10">
        <v>0</v>
      </c>
      <c r="K34" s="11"/>
      <c r="L34" s="19"/>
      <c r="M34" s="13">
        <f t="shared" si="6"/>
        <v>1898</v>
      </c>
      <c r="N34" s="14">
        <f t="shared" si="0"/>
        <v>5000</v>
      </c>
      <c r="O34" s="5" t="s">
        <v>48</v>
      </c>
      <c r="P34" s="33">
        <f t="shared" si="1"/>
        <v>189.8</v>
      </c>
      <c r="Q34" s="33">
        <f t="shared" si="2"/>
        <v>204.98400000000004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2118.6</v>
      </c>
      <c r="I35" s="10">
        <v>300</v>
      </c>
      <c r="J35" s="10">
        <v>105</v>
      </c>
      <c r="K35" s="16">
        <v>913.35</v>
      </c>
      <c r="L35" s="19"/>
      <c r="M35" s="13">
        <f t="shared" si="6"/>
        <v>563.05000000000007</v>
      </c>
      <c r="N35" s="14">
        <f t="shared" si="0"/>
        <v>2681.65</v>
      </c>
      <c r="O35" s="5">
        <v>0.03</v>
      </c>
      <c r="P35" s="33">
        <f t="shared" si="1"/>
        <v>56.305000000000007</v>
      </c>
      <c r="Q35" s="33">
        <f t="shared" si="2"/>
        <v>60.809400000000011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2402.6</v>
      </c>
      <c r="I36" s="10">
        <v>225</v>
      </c>
      <c r="J36" s="10">
        <v>35</v>
      </c>
      <c r="K36" s="16">
        <v>730.47</v>
      </c>
      <c r="L36" s="12"/>
      <c r="M36" s="13">
        <f t="shared" si="6"/>
        <v>1606.93</v>
      </c>
      <c r="N36" s="14">
        <f t="shared" si="0"/>
        <v>4009.5299999999997</v>
      </c>
      <c r="O36" s="5" t="s">
        <v>47</v>
      </c>
      <c r="P36" s="33">
        <f t="shared" si="1"/>
        <v>160.69300000000001</v>
      </c>
      <c r="Q36" s="33">
        <f t="shared" si="2"/>
        <v>173.54844000000003</v>
      </c>
    </row>
    <row r="37" spans="1:17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3102</v>
      </c>
      <c r="I37" s="10">
        <v>75</v>
      </c>
      <c r="J37" s="10">
        <v>0</v>
      </c>
      <c r="K37" s="11"/>
      <c r="L37" s="19">
        <v>1956.4</v>
      </c>
      <c r="M37" s="13">
        <f t="shared" si="6"/>
        <v>2779.4</v>
      </c>
      <c r="N37" s="14">
        <f t="shared" si="0"/>
        <v>5881.4</v>
      </c>
      <c r="O37" s="5" t="s">
        <v>47</v>
      </c>
      <c r="P37" s="33">
        <f t="shared" si="1"/>
        <v>277.94</v>
      </c>
      <c r="Q37" s="33">
        <f t="shared" si="2"/>
        <v>300.17520000000002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3266.2</v>
      </c>
      <c r="I38" s="10">
        <v>150</v>
      </c>
      <c r="J38" s="10">
        <v>140</v>
      </c>
      <c r="K38" s="21"/>
      <c r="L38" s="19">
        <v>1000</v>
      </c>
      <c r="M38" s="13">
        <f t="shared" si="6"/>
        <v>4443.8</v>
      </c>
      <c r="N38" s="14">
        <f>H38+M38</f>
        <v>7710</v>
      </c>
      <c r="O38" s="5" t="s">
        <v>118</v>
      </c>
      <c r="P38" s="33">
        <f t="shared" si="1"/>
        <v>444.38000000000005</v>
      </c>
      <c r="Q38" s="33">
        <f t="shared" si="2"/>
        <v>479.93040000000008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3144.8</v>
      </c>
      <c r="I39" s="10">
        <v>150</v>
      </c>
      <c r="J39" s="10">
        <v>140</v>
      </c>
      <c r="K39" s="21"/>
      <c r="L39" s="19"/>
      <c r="M39" s="22">
        <f>C39-H39-I39+L39-K39-J39</f>
        <v>65.199999999999818</v>
      </c>
      <c r="N39" s="14">
        <f t="shared" si="0"/>
        <v>3210</v>
      </c>
      <c r="O39" s="5">
        <v>0.03</v>
      </c>
      <c r="P39" s="33">
        <f t="shared" si="1"/>
        <v>6.5199999999999818</v>
      </c>
      <c r="Q39" s="33">
        <f t="shared" si="2"/>
        <v>7.0415999999999812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3123.2</v>
      </c>
      <c r="I40" s="10">
        <v>0</v>
      </c>
      <c r="J40" s="10">
        <v>0</v>
      </c>
      <c r="K40" s="21"/>
      <c r="L40" s="19"/>
      <c r="M40" s="22">
        <f>C40-H40-I40+L40-K40-J40</f>
        <v>251.80000000000018</v>
      </c>
      <c r="N40" s="14">
        <f t="shared" si="0"/>
        <v>3375</v>
      </c>
      <c r="O40" s="5">
        <v>0.03</v>
      </c>
      <c r="P40" s="33">
        <f t="shared" si="1"/>
        <v>25.180000000000021</v>
      </c>
      <c r="Q40" s="33">
        <f t="shared" si="2"/>
        <v>27.194400000000023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3101.8</v>
      </c>
      <c r="I41" s="10">
        <v>375</v>
      </c>
      <c r="J41" s="10">
        <v>105</v>
      </c>
      <c r="K41" s="11"/>
      <c r="L41" s="19"/>
      <c r="M41" s="13">
        <f t="shared" si="6"/>
        <v>1418.1999999999998</v>
      </c>
      <c r="N41" s="14">
        <f t="shared" si="0"/>
        <v>4520</v>
      </c>
      <c r="O41" s="5">
        <v>0.03</v>
      </c>
      <c r="P41" s="33">
        <f t="shared" si="1"/>
        <v>141.82</v>
      </c>
      <c r="Q41" s="33">
        <f t="shared" si="2"/>
        <v>153.16560000000001</v>
      </c>
    </row>
    <row r="42" spans="1:17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2879.2</v>
      </c>
      <c r="I42" s="10">
        <v>150</v>
      </c>
      <c r="J42" s="10">
        <v>70</v>
      </c>
      <c r="K42" s="21">
        <v>293.92</v>
      </c>
      <c r="L42" s="19"/>
      <c r="M42" s="22">
        <f>C42-H42-I42+L42-K42-J42</f>
        <v>106.88000000000017</v>
      </c>
      <c r="N42" s="14">
        <f t="shared" si="0"/>
        <v>2986.08</v>
      </c>
      <c r="O42" s="5" t="s">
        <v>118</v>
      </c>
      <c r="P42" s="33">
        <f t="shared" si="1"/>
        <v>10.688000000000017</v>
      </c>
      <c r="Q42" s="33">
        <f t="shared" si="2"/>
        <v>11.543040000000019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3102</v>
      </c>
      <c r="I43" s="10">
        <v>0</v>
      </c>
      <c r="J43" s="10">
        <v>0</v>
      </c>
      <c r="K43" s="11"/>
      <c r="L43" s="19"/>
      <c r="M43" s="13">
        <f t="shared" si="6"/>
        <v>1898</v>
      </c>
      <c r="N43" s="14">
        <f t="shared" si="0"/>
        <v>5000</v>
      </c>
      <c r="O43" s="5" t="s">
        <v>119</v>
      </c>
      <c r="P43" s="33">
        <f t="shared" si="1"/>
        <v>189.8</v>
      </c>
      <c r="Q43" s="33">
        <f t="shared" si="2"/>
        <v>204.98400000000004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3102</v>
      </c>
      <c r="I44" s="10">
        <v>0</v>
      </c>
      <c r="J44" s="10">
        <v>0</v>
      </c>
      <c r="K44" s="11"/>
      <c r="L44" s="19"/>
      <c r="M44" s="13">
        <f t="shared" si="6"/>
        <v>5648</v>
      </c>
      <c r="N44" s="14">
        <f t="shared" si="0"/>
        <v>8750</v>
      </c>
      <c r="O44" s="5">
        <v>0.03</v>
      </c>
      <c r="P44" s="33">
        <f t="shared" si="1"/>
        <v>564.80000000000007</v>
      </c>
      <c r="Q44" s="33">
        <f t="shared" si="2"/>
        <v>609.98400000000015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3105</v>
      </c>
      <c r="I45" s="10">
        <v>75</v>
      </c>
      <c r="J45" s="10">
        <v>35</v>
      </c>
      <c r="K45" s="21"/>
      <c r="L45" s="19"/>
      <c r="M45" s="13">
        <f t="shared" si="6"/>
        <v>1785</v>
      </c>
      <c r="N45" s="14">
        <f t="shared" si="0"/>
        <v>4890</v>
      </c>
      <c r="O45" s="5">
        <v>0.03</v>
      </c>
      <c r="P45" s="33">
        <f t="shared" si="1"/>
        <v>178.5</v>
      </c>
      <c r="Q45" s="33">
        <f t="shared" si="2"/>
        <v>192.78</v>
      </c>
    </row>
    <row r="46" spans="1:17" s="55" customFormat="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3102</v>
      </c>
      <c r="I46" s="10">
        <v>0</v>
      </c>
      <c r="J46" s="10">
        <v>0</v>
      </c>
      <c r="K46" s="11"/>
      <c r="L46" s="19"/>
      <c r="M46" s="13">
        <f t="shared" si="6"/>
        <v>898</v>
      </c>
      <c r="N46" s="14">
        <f t="shared" si="0"/>
        <v>4000</v>
      </c>
      <c r="O46" s="5" t="s">
        <v>48</v>
      </c>
      <c r="P46" s="33">
        <f t="shared" si="1"/>
        <v>89.800000000000011</v>
      </c>
      <c r="Q46" s="33">
        <f t="shared" si="2"/>
        <v>96.984000000000023</v>
      </c>
    </row>
    <row r="47" spans="1:17" s="55" customFormat="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3104.8</v>
      </c>
      <c r="I47" s="10">
        <v>0</v>
      </c>
      <c r="J47" s="10">
        <v>0</v>
      </c>
      <c r="K47" s="21"/>
      <c r="L47" s="12"/>
      <c r="M47" s="13">
        <f t="shared" si="6"/>
        <v>895.19999999999982</v>
      </c>
      <c r="N47" s="14">
        <f t="shared" si="0"/>
        <v>4000</v>
      </c>
      <c r="O47" s="5" t="s">
        <v>48</v>
      </c>
      <c r="P47" s="33">
        <f t="shared" si="1"/>
        <v>89.519999999999982</v>
      </c>
      <c r="Q47" s="33">
        <f t="shared" si="2"/>
        <v>96.681599999999989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3101.8</v>
      </c>
      <c r="I48" s="10">
        <v>375</v>
      </c>
      <c r="J48" s="10">
        <v>0</v>
      </c>
      <c r="K48" s="11"/>
      <c r="L48" s="19"/>
      <c r="M48" s="13">
        <f t="shared" si="6"/>
        <v>523.19999999999982</v>
      </c>
      <c r="N48" s="14">
        <f t="shared" si="0"/>
        <v>3625</v>
      </c>
      <c r="O48" s="5" t="s">
        <v>118</v>
      </c>
      <c r="P48" s="33">
        <f t="shared" si="1"/>
        <v>52.319999999999986</v>
      </c>
      <c r="Q48" s="33">
        <f t="shared" si="2"/>
        <v>56.505599999999987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3102</v>
      </c>
      <c r="I49" s="10">
        <v>375</v>
      </c>
      <c r="J49" s="10">
        <v>175</v>
      </c>
      <c r="K49" s="11"/>
      <c r="L49" s="19"/>
      <c r="M49" s="13">
        <f t="shared" si="6"/>
        <v>1348</v>
      </c>
      <c r="N49" s="14">
        <f t="shared" si="0"/>
        <v>4450</v>
      </c>
      <c r="O49" s="5" t="s">
        <v>118</v>
      </c>
      <c r="P49" s="33">
        <f t="shared" si="1"/>
        <v>134.80000000000001</v>
      </c>
      <c r="Q49" s="33">
        <f t="shared" si="2"/>
        <v>145.58400000000003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3102</v>
      </c>
      <c r="I50" s="10">
        <v>0</v>
      </c>
      <c r="J50" s="10">
        <v>0</v>
      </c>
      <c r="K50" s="11"/>
      <c r="L50" s="19"/>
      <c r="M50" s="13">
        <f t="shared" si="6"/>
        <v>398</v>
      </c>
      <c r="N50" s="14">
        <f t="shared" si="0"/>
        <v>3500</v>
      </c>
      <c r="O50" s="5">
        <v>0.03</v>
      </c>
      <c r="P50" s="33">
        <f t="shared" si="1"/>
        <v>39.800000000000004</v>
      </c>
      <c r="Q50" s="33">
        <f t="shared" si="2"/>
        <v>42.984000000000009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3102</v>
      </c>
      <c r="I51" s="10">
        <v>0</v>
      </c>
      <c r="J51" s="10">
        <v>0</v>
      </c>
      <c r="K51" s="11"/>
      <c r="L51" s="19"/>
      <c r="M51" s="13">
        <f t="shared" si="6"/>
        <v>398</v>
      </c>
      <c r="N51" s="14">
        <f t="shared" si="0"/>
        <v>3500</v>
      </c>
      <c r="O51" s="5">
        <v>0.03</v>
      </c>
      <c r="P51" s="33">
        <f t="shared" si="1"/>
        <v>39.800000000000004</v>
      </c>
      <c r="Q51" s="33">
        <f t="shared" si="2"/>
        <v>42.984000000000009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3102</v>
      </c>
      <c r="I52" s="10">
        <v>0</v>
      </c>
      <c r="J52" s="10">
        <v>35</v>
      </c>
      <c r="K52" s="11"/>
      <c r="L52" s="19"/>
      <c r="M52" s="13">
        <f t="shared" si="6"/>
        <v>1113</v>
      </c>
      <c r="N52" s="14">
        <f t="shared" si="0"/>
        <v>4215</v>
      </c>
      <c r="O52" s="5">
        <v>0.03</v>
      </c>
      <c r="P52" s="33">
        <f t="shared" si="1"/>
        <v>111.30000000000001</v>
      </c>
      <c r="Q52" s="33">
        <f t="shared" si="2"/>
        <v>120.20400000000002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3102</v>
      </c>
      <c r="I53" s="10">
        <v>75</v>
      </c>
      <c r="J53" s="10">
        <v>35</v>
      </c>
      <c r="K53" s="11"/>
      <c r="L53" s="12"/>
      <c r="M53" s="13">
        <f t="shared" si="6"/>
        <v>788</v>
      </c>
      <c r="N53" s="14">
        <f t="shared" si="0"/>
        <v>3890</v>
      </c>
      <c r="O53" s="5">
        <v>0.03</v>
      </c>
      <c r="P53" s="33">
        <f t="shared" si="1"/>
        <v>78.800000000000011</v>
      </c>
      <c r="Q53" s="33">
        <f t="shared" si="2"/>
        <v>85.104000000000013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3102</v>
      </c>
      <c r="I54" s="10">
        <v>375</v>
      </c>
      <c r="J54" s="10">
        <v>175</v>
      </c>
      <c r="K54" s="11"/>
      <c r="L54" s="12"/>
      <c r="M54" s="22">
        <f>C54-H54-I54+L54-K54-J54+0.02</f>
        <v>348.02</v>
      </c>
      <c r="N54" s="14">
        <f t="shared" si="0"/>
        <v>3450.02</v>
      </c>
      <c r="O54" s="5">
        <v>0.03</v>
      </c>
      <c r="P54" s="33">
        <f t="shared" si="1"/>
        <v>34.802</v>
      </c>
      <c r="Q54" s="33">
        <f t="shared" si="2"/>
        <v>37.58616</v>
      </c>
    </row>
    <row r="55" spans="1:18" x14ac:dyDescent="0.25">
      <c r="A55" s="5">
        <v>295</v>
      </c>
      <c r="B55" s="6" t="s">
        <v>104</v>
      </c>
      <c r="C55" s="7">
        <v>5500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3101.8</v>
      </c>
      <c r="I55" s="10">
        <v>375</v>
      </c>
      <c r="J55" s="10">
        <v>140</v>
      </c>
      <c r="K55" s="11"/>
      <c r="L55" s="12"/>
      <c r="M55" s="22">
        <f>C55-H55-I55+L55-K55-J55+0.02</f>
        <v>1883.2199999999998</v>
      </c>
      <c r="N55" s="14">
        <f t="shared" si="0"/>
        <v>4985.0200000000004</v>
      </c>
      <c r="O55" s="5" t="s">
        <v>118</v>
      </c>
      <c r="P55" s="33">
        <f t="shared" si="1"/>
        <v>188.322</v>
      </c>
      <c r="Q55" s="33">
        <f t="shared" si="2"/>
        <v>203.38776000000001</v>
      </c>
    </row>
    <row r="56" spans="1:18" x14ac:dyDescent="0.25">
      <c r="A56" s="5">
        <v>296</v>
      </c>
      <c r="B56" s="6" t="s">
        <v>107</v>
      </c>
      <c r="C56" s="7">
        <v>5000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3114.8</v>
      </c>
      <c r="I56" s="10">
        <v>0</v>
      </c>
      <c r="J56" s="10">
        <v>0</v>
      </c>
      <c r="K56" s="11"/>
      <c r="L56" s="12"/>
      <c r="M56" s="22">
        <f>C56-H56-I56+L56-K56-J56+0.02</f>
        <v>1885.2199999999998</v>
      </c>
      <c r="N56" s="14">
        <f t="shared" si="0"/>
        <v>5000.0200000000004</v>
      </c>
      <c r="O56" s="5" t="s">
        <v>50</v>
      </c>
      <c r="P56" s="33">
        <f t="shared" si="1"/>
        <v>188.52199999999999</v>
      </c>
      <c r="Q56" s="33">
        <f t="shared" si="2"/>
        <v>203.60375999999999</v>
      </c>
    </row>
    <row r="57" spans="1:18" x14ac:dyDescent="0.25">
      <c r="A57" s="5">
        <v>297</v>
      </c>
      <c r="B57" s="6" t="s">
        <v>110</v>
      </c>
      <c r="C57" s="7">
        <v>4000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3354.2</v>
      </c>
      <c r="I57" s="10">
        <v>0</v>
      </c>
      <c r="J57" s="10">
        <v>0</v>
      </c>
      <c r="K57" s="11"/>
      <c r="L57" s="12"/>
      <c r="M57" s="22">
        <f>C57-H57-I57+L57-K57-J57+0.02</f>
        <v>645.82000000000016</v>
      </c>
      <c r="N57" s="14">
        <f t="shared" si="0"/>
        <v>4000.02</v>
      </c>
      <c r="O57" s="5" t="s">
        <v>50</v>
      </c>
      <c r="P57" s="33">
        <f t="shared" si="1"/>
        <v>64.582000000000022</v>
      </c>
      <c r="Q57" s="33">
        <f t="shared" si="2"/>
        <v>69.748560000000026</v>
      </c>
    </row>
    <row r="58" spans="1:18" ht="16.149999999999999" customHeight="1" thickBot="1" x14ac:dyDescent="0.3"/>
    <row r="59" spans="1:18" ht="18" thickBot="1" x14ac:dyDescent="0.35">
      <c r="A59" s="23"/>
      <c r="B59" s="24"/>
      <c r="C59" s="25">
        <f t="shared" ref="C59:N59" si="7">SUM(C4:C58)</f>
        <v>265625</v>
      </c>
      <c r="D59" s="25">
        <f t="shared" si="7"/>
        <v>22673.52</v>
      </c>
      <c r="E59" s="25">
        <f t="shared" si="7"/>
        <v>133521.83999999997</v>
      </c>
      <c r="F59" s="25">
        <f t="shared" si="7"/>
        <v>22253.64</v>
      </c>
      <c r="G59" s="25">
        <f t="shared" si="7"/>
        <v>155775.48000000013</v>
      </c>
      <c r="H59" s="25">
        <f>SUM(H4:H58)</f>
        <v>160859.4</v>
      </c>
      <c r="I59" s="26">
        <f t="shared" si="7"/>
        <v>8325</v>
      </c>
      <c r="J59" s="26">
        <f t="shared" si="7"/>
        <v>3395</v>
      </c>
      <c r="K59" s="26">
        <f t="shared" si="7"/>
        <v>4609.29</v>
      </c>
      <c r="L59" s="27">
        <f>SUM(L4:L58)</f>
        <v>4598.96</v>
      </c>
      <c r="M59" s="25">
        <f>SUM(M4:M58)</f>
        <v>93035.349999999991</v>
      </c>
      <c r="N59" s="25">
        <f t="shared" si="7"/>
        <v>253894.74999999991</v>
      </c>
      <c r="P59" s="25">
        <f>SUM(P4:P58)</f>
        <v>9303.5349999999999</v>
      </c>
      <c r="Q59" s="25">
        <f>SUM(Q4:Q58)</f>
        <v>10047.817800000006</v>
      </c>
      <c r="R59" s="55">
        <f>+N59+Q59</f>
        <v>263942.5677999999</v>
      </c>
    </row>
    <row r="60" spans="1:18" x14ac:dyDescent="0.25">
      <c r="H60" s="15"/>
      <c r="M60" s="15"/>
    </row>
    <row r="61" spans="1:18" x14ac:dyDescent="0.25">
      <c r="H61" s="15"/>
      <c r="I61">
        <f>+I59/75</f>
        <v>111</v>
      </c>
      <c r="J61" s="28">
        <f>SUM(J59)/35</f>
        <v>97</v>
      </c>
      <c r="R61" s="55">
        <v>12886.8</v>
      </c>
    </row>
    <row r="62" spans="1:18" x14ac:dyDescent="0.25">
      <c r="F62" s="15"/>
      <c r="H62" s="15">
        <f>H59+M59</f>
        <v>253894.75</v>
      </c>
      <c r="K62" s="15"/>
    </row>
    <row r="63" spans="1:18" x14ac:dyDescent="0.25">
      <c r="H63" s="15">
        <f>'[1]Nom 9'!$H$53</f>
        <v>131178.05999999994</v>
      </c>
      <c r="I63" s="40"/>
      <c r="J63" s="15"/>
    </row>
    <row r="64" spans="1:18" x14ac:dyDescent="0.25">
      <c r="H64" s="15">
        <f>[2]Rino!$H$8</f>
        <v>75398.810000000012</v>
      </c>
    </row>
    <row r="65" spans="8:10" x14ac:dyDescent="0.25">
      <c r="H65" s="15">
        <f>H63+H64</f>
        <v>206576.86999999994</v>
      </c>
    </row>
    <row r="70" spans="8:10" x14ac:dyDescent="0.25">
      <c r="J70" s="15" t="e">
        <f>(H59-#REF!-#REF!)+3354.4+2879</f>
        <v>#REF!</v>
      </c>
    </row>
  </sheetData>
  <autoFilter ref="A3:Q57" xr:uid="{00000000-0009-0000-0000-000016000000}"/>
  <mergeCells count="2">
    <mergeCell ref="A1:N1"/>
    <mergeCell ref="A2:N2"/>
  </mergeCells>
  <pageMargins left="0.25" right="0.25" top="0.75" bottom="0.75" header="0.3" footer="0.3"/>
  <pageSetup scale="56" fitToWidth="0" orientation="landscape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24">
    <pageSetUpPr fitToPage="1"/>
  </sheetPr>
  <dimension ref="A1:R70"/>
  <sheetViews>
    <sheetView showGridLines="0" topLeftCell="A8" zoomScaleNormal="100" workbookViewId="0">
      <selection activeCell="L12" sqref="L12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113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7" si="0">H4+M4</f>
        <v>0</v>
      </c>
      <c r="O4" s="81" t="s">
        <v>48</v>
      </c>
      <c r="P4" s="82">
        <f t="shared" ref="P4:P57" si="1">+M4*0.1</f>
        <v>0</v>
      </c>
      <c r="Q4" s="82">
        <f t="shared" ref="Q4:Q57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7" si="3">D5*6</f>
        <v>2519.2799999999997</v>
      </c>
      <c r="F5" s="8">
        <f t="shared" ref="F5:F57" si="4">$D$4</f>
        <v>419.88</v>
      </c>
      <c r="G5" s="9">
        <f t="shared" ref="G5:G57" si="5">E5+F5</f>
        <v>2939.16</v>
      </c>
      <c r="H5" s="37">
        <v>3354.2</v>
      </c>
      <c r="I5" s="10">
        <v>375</v>
      </c>
      <c r="J5" s="10">
        <v>0</v>
      </c>
      <c r="K5" s="11"/>
      <c r="L5" s="12"/>
      <c r="M5" s="13">
        <f>C5-H5-I5+L5-K5-J5</f>
        <v>270.80000000000018</v>
      </c>
      <c r="N5" s="14">
        <f t="shared" si="0"/>
        <v>3625</v>
      </c>
      <c r="O5" s="29" t="s">
        <v>47</v>
      </c>
      <c r="P5" s="33">
        <f t="shared" si="1"/>
        <v>27.08000000000002</v>
      </c>
      <c r="Q5" s="33">
        <f t="shared" si="2"/>
        <v>29.246400000000023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3354.4</v>
      </c>
      <c r="I6" s="18">
        <v>75</v>
      </c>
      <c r="J6" s="18">
        <v>70</v>
      </c>
      <c r="K6" s="21"/>
      <c r="L6" s="19"/>
      <c r="M6" s="13">
        <f t="shared" ref="M6:M53" si="6">C6-H6-I6+L6-K6-J6</f>
        <v>11500.6</v>
      </c>
      <c r="N6" s="14">
        <f>H6+M6</f>
        <v>14855</v>
      </c>
      <c r="O6" s="30" t="s">
        <v>118</v>
      </c>
      <c r="P6" s="33">
        <f t="shared" si="1"/>
        <v>1150.0600000000002</v>
      </c>
      <c r="Q6" s="33">
        <f t="shared" si="2"/>
        <v>1242.0648000000003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3432</v>
      </c>
      <c r="I7" s="10">
        <v>0</v>
      </c>
      <c r="J7" s="10">
        <v>175</v>
      </c>
      <c r="K7" s="21"/>
      <c r="L7" s="19">
        <v>357.14</v>
      </c>
      <c r="M7" s="13">
        <f t="shared" si="6"/>
        <v>1750.1399999999999</v>
      </c>
      <c r="N7" s="14">
        <f t="shared" si="0"/>
        <v>5182.1399999999994</v>
      </c>
      <c r="O7" s="36" t="s">
        <v>118</v>
      </c>
      <c r="P7" s="33">
        <f t="shared" si="1"/>
        <v>175.01400000000001</v>
      </c>
      <c r="Q7" s="33">
        <f t="shared" si="2"/>
        <v>189.01512000000002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225</v>
      </c>
      <c r="J8" s="10">
        <v>105</v>
      </c>
      <c r="K8" s="11"/>
      <c r="L8" s="12"/>
      <c r="M8" s="13">
        <f t="shared" si="6"/>
        <v>815.59999999999991</v>
      </c>
      <c r="N8" s="14">
        <f t="shared" si="0"/>
        <v>4170</v>
      </c>
      <c r="O8" s="30" t="s">
        <v>118</v>
      </c>
      <c r="P8" s="33">
        <f t="shared" si="1"/>
        <v>81.56</v>
      </c>
      <c r="Q8" s="33">
        <f t="shared" si="2"/>
        <v>88.084800000000001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3120.2</v>
      </c>
      <c r="I9" s="10">
        <v>300</v>
      </c>
      <c r="J9" s="10">
        <v>175</v>
      </c>
      <c r="K9" s="21">
        <v>293.92</v>
      </c>
      <c r="L9" s="12"/>
      <c r="M9" s="22">
        <f>C9-H9-I9+L9-K9-J9</f>
        <v>110.88000000000017</v>
      </c>
      <c r="N9" s="14">
        <f t="shared" si="0"/>
        <v>3231.08</v>
      </c>
      <c r="O9" s="30" t="s">
        <v>47</v>
      </c>
      <c r="P9" s="33">
        <f t="shared" si="1"/>
        <v>11.088000000000017</v>
      </c>
      <c r="Q9" s="33">
        <f t="shared" si="2"/>
        <v>11.975040000000019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3354.4</v>
      </c>
      <c r="I10" s="10">
        <v>0</v>
      </c>
      <c r="J10" s="10">
        <v>0</v>
      </c>
      <c r="K10" s="20"/>
      <c r="L10" s="19"/>
      <c r="M10" s="13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3354.2</v>
      </c>
      <c r="I11" s="10">
        <v>225</v>
      </c>
      <c r="J11" s="10">
        <v>175</v>
      </c>
      <c r="K11" s="11"/>
      <c r="L11" s="12"/>
      <c r="M11" s="13">
        <f>C11-H11-I11+L11-K11-J11</f>
        <v>3245.8</v>
      </c>
      <c r="N11" s="14">
        <f t="shared" si="0"/>
        <v>6600</v>
      </c>
      <c r="O11" s="30" t="s">
        <v>118</v>
      </c>
      <c r="P11" s="33">
        <f t="shared" si="1"/>
        <v>324.58000000000004</v>
      </c>
      <c r="Q11" s="33">
        <f t="shared" si="2"/>
        <v>350.54640000000006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4407.6000000000004</v>
      </c>
      <c r="I12" s="10">
        <v>150</v>
      </c>
      <c r="J12" s="10">
        <v>70</v>
      </c>
      <c r="K12" s="11"/>
      <c r="L12" s="19">
        <v>714.29</v>
      </c>
      <c r="M12" s="13">
        <f>C12-H12-I12+L12-K12-J12</f>
        <v>1086.6899999999996</v>
      </c>
      <c r="N12" s="14">
        <f t="shared" si="0"/>
        <v>5494.29</v>
      </c>
      <c r="O12" s="30">
        <v>0.03</v>
      </c>
      <c r="P12" s="33">
        <f t="shared" si="1"/>
        <v>108.66899999999997</v>
      </c>
      <c r="Q12" s="33">
        <f t="shared" si="2"/>
        <v>117.36251999999998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3100</v>
      </c>
      <c r="I13" s="10">
        <v>225</v>
      </c>
      <c r="J13" s="10">
        <v>175</v>
      </c>
      <c r="K13" s="21"/>
      <c r="L13" s="12"/>
      <c r="M13" s="13">
        <f>C13-H13-I13+L13-K13-J13</f>
        <v>0</v>
      </c>
      <c r="N13" s="14">
        <f t="shared" si="0"/>
        <v>3100</v>
      </c>
      <c r="O13" s="30">
        <v>0.03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3120.2</v>
      </c>
      <c r="I14" s="10">
        <v>300</v>
      </c>
      <c r="J14" s="10">
        <v>105</v>
      </c>
      <c r="K14" s="21">
        <v>293.92</v>
      </c>
      <c r="L14" s="12"/>
      <c r="M14" s="22">
        <f>C14-H14-I14+L14-K14-J14</f>
        <v>180.88000000000017</v>
      </c>
      <c r="N14" s="14">
        <f t="shared" si="0"/>
        <v>3301.08</v>
      </c>
      <c r="O14" s="36" t="s">
        <v>50</v>
      </c>
      <c r="P14" s="33">
        <f t="shared" si="1"/>
        <v>18.088000000000019</v>
      </c>
      <c r="Q14" s="33">
        <f t="shared" si="2"/>
        <v>19.53504000000002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>
        <v>0</v>
      </c>
      <c r="J15" s="10">
        <v>0</v>
      </c>
      <c r="K15" s="21"/>
      <c r="L15" s="19"/>
      <c r="M15" s="13">
        <f t="shared" si="6"/>
        <v>645.59999999999991</v>
      </c>
      <c r="N15" s="14">
        <f t="shared" si="0"/>
        <v>4000</v>
      </c>
      <c r="O15" s="30" t="s">
        <v>47</v>
      </c>
      <c r="P15" s="33">
        <f t="shared" si="1"/>
        <v>64.559999999999988</v>
      </c>
      <c r="Q15" s="33">
        <f t="shared" si="2"/>
        <v>69.724799999999988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3354.4</v>
      </c>
      <c r="I16" s="10">
        <v>75</v>
      </c>
      <c r="J16" s="10">
        <v>140</v>
      </c>
      <c r="K16" s="21"/>
      <c r="L16" s="12"/>
      <c r="M16" s="13">
        <f>C16-H16-I16+L16-K16-J16</f>
        <v>430.59999999999991</v>
      </c>
      <c r="N16" s="14">
        <f t="shared" si="0"/>
        <v>3785</v>
      </c>
      <c r="O16" s="29">
        <v>0.03</v>
      </c>
      <c r="P16" s="33">
        <f t="shared" si="1"/>
        <v>43.059999999999995</v>
      </c>
      <c r="Q16" s="33">
        <f t="shared" si="2"/>
        <v>46.504799999999996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2879.2</v>
      </c>
      <c r="I17" s="10">
        <v>0</v>
      </c>
      <c r="J17" s="10">
        <v>0</v>
      </c>
      <c r="K17" s="21">
        <v>587.84</v>
      </c>
      <c r="L17" s="19"/>
      <c r="M17" s="13">
        <f t="shared" si="6"/>
        <v>532.96000000000015</v>
      </c>
      <c r="N17" s="14">
        <f t="shared" si="0"/>
        <v>3412.16</v>
      </c>
      <c r="O17" s="29" t="s">
        <v>48</v>
      </c>
      <c r="P17" s="33">
        <f t="shared" si="1"/>
        <v>53.296000000000021</v>
      </c>
      <c r="Q17" s="33">
        <f t="shared" si="2"/>
        <v>57.559680000000029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3354.4</v>
      </c>
      <c r="I18" s="10">
        <v>375</v>
      </c>
      <c r="J18" s="10">
        <v>140</v>
      </c>
      <c r="K18" s="21"/>
      <c r="L18" s="12"/>
      <c r="M18" s="13">
        <f t="shared" si="6"/>
        <v>130.59999999999991</v>
      </c>
      <c r="N18" s="14">
        <f t="shared" si="0"/>
        <v>3485</v>
      </c>
      <c r="O18" s="29">
        <v>0.03</v>
      </c>
      <c r="P18" s="33">
        <f t="shared" si="1"/>
        <v>13.059999999999992</v>
      </c>
      <c r="Q18" s="33">
        <f t="shared" si="2"/>
        <v>14.104799999999992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2376</v>
      </c>
      <c r="I19" s="10">
        <v>0</v>
      </c>
      <c r="J19" s="10">
        <v>0</v>
      </c>
      <c r="K19" s="16">
        <v>908.03</v>
      </c>
      <c r="L19" s="12"/>
      <c r="M19" s="13">
        <f t="shared" si="6"/>
        <v>6715.97</v>
      </c>
      <c r="N19" s="14">
        <f t="shared" si="0"/>
        <v>9091.9700000000012</v>
      </c>
      <c r="O19" s="29" t="s">
        <v>50</v>
      </c>
      <c r="P19" s="33">
        <f t="shared" si="1"/>
        <v>671.59700000000009</v>
      </c>
      <c r="Q19" s="33">
        <f t="shared" si="2"/>
        <v>725.3247600000002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3354.2</v>
      </c>
      <c r="I20" s="10">
        <v>375</v>
      </c>
      <c r="J20" s="10">
        <v>175</v>
      </c>
      <c r="K20" s="21"/>
      <c r="L20" s="19"/>
      <c r="M20" s="13">
        <f t="shared" si="6"/>
        <v>4095.8</v>
      </c>
      <c r="N20" s="14">
        <f t="shared" si="0"/>
        <v>7450</v>
      </c>
      <c r="O20" s="29">
        <v>0.03</v>
      </c>
      <c r="P20" s="33">
        <f t="shared" si="1"/>
        <v>409.58000000000004</v>
      </c>
      <c r="Q20" s="33">
        <f t="shared" si="2"/>
        <v>442.34640000000007</v>
      </c>
    </row>
    <row r="21" spans="1:17" s="55" customFormat="1" ht="13.5" customHeight="1" x14ac:dyDescent="0.25">
      <c r="A21" s="5">
        <v>204</v>
      </c>
      <c r="B21" s="6" t="s">
        <v>33</v>
      </c>
      <c r="C21" s="7">
        <v>5000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>
        <v>75</v>
      </c>
      <c r="J21" s="10">
        <v>105</v>
      </c>
      <c r="K21" s="11"/>
      <c r="L21" s="19"/>
      <c r="M21" s="13">
        <f t="shared" si="6"/>
        <v>1465.6</v>
      </c>
      <c r="N21" s="14">
        <f t="shared" si="0"/>
        <v>4820</v>
      </c>
      <c r="O21" s="29" t="s">
        <v>118</v>
      </c>
      <c r="P21" s="33">
        <f t="shared" si="1"/>
        <v>146.56</v>
      </c>
      <c r="Q21" s="33">
        <f t="shared" si="2"/>
        <v>158.28480000000002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0</v>
      </c>
      <c r="J22" s="10">
        <v>0</v>
      </c>
      <c r="K22" s="11"/>
      <c r="L22" s="12"/>
      <c r="M22" s="13">
        <f t="shared" si="6"/>
        <v>645.59999999999991</v>
      </c>
      <c r="N22" s="14">
        <f t="shared" si="0"/>
        <v>4000</v>
      </c>
      <c r="O22" s="29" t="s">
        <v>50</v>
      </c>
      <c r="P22" s="33">
        <f t="shared" si="1"/>
        <v>64.559999999999988</v>
      </c>
      <c r="Q22" s="33">
        <f t="shared" si="2"/>
        <v>69.724799999999988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3354.2</v>
      </c>
      <c r="I23" s="10">
        <v>225</v>
      </c>
      <c r="J23" s="10">
        <v>175</v>
      </c>
      <c r="K23" s="21"/>
      <c r="L23" s="19"/>
      <c r="M23" s="13">
        <f t="shared" si="6"/>
        <v>1245.8000000000002</v>
      </c>
      <c r="N23" s="14">
        <f t="shared" si="0"/>
        <v>4600</v>
      </c>
      <c r="O23" s="29" t="s">
        <v>118</v>
      </c>
      <c r="P23" s="33">
        <f t="shared" si="1"/>
        <v>124.58000000000003</v>
      </c>
      <c r="Q23" s="33">
        <f t="shared" si="2"/>
        <v>134.54640000000003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3354.2</v>
      </c>
      <c r="I24" s="10">
        <v>0</v>
      </c>
      <c r="J24" s="10">
        <v>0</v>
      </c>
      <c r="K24" s="12"/>
      <c r="L24" s="12"/>
      <c r="M24" s="13">
        <f t="shared" si="6"/>
        <v>145.80000000000018</v>
      </c>
      <c r="N24" s="14">
        <f t="shared" si="0"/>
        <v>3500</v>
      </c>
      <c r="O24" s="29" t="s">
        <v>49</v>
      </c>
      <c r="P24" s="33">
        <f t="shared" si="1"/>
        <v>14.58000000000002</v>
      </c>
      <c r="Q24" s="33">
        <f t="shared" si="2"/>
        <v>15.746400000000023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2510.8000000000002</v>
      </c>
      <c r="I25" s="10">
        <v>375</v>
      </c>
      <c r="J25" s="10">
        <v>210</v>
      </c>
      <c r="K25" s="16">
        <v>904.25</v>
      </c>
      <c r="L25" s="12"/>
      <c r="M25" s="98">
        <f>C25-H25-I25+L25-K25-J25+0.05</f>
        <v>-1.8189616479702408E-13</v>
      </c>
      <c r="N25" s="14">
        <f t="shared" si="0"/>
        <v>2510.8000000000002</v>
      </c>
      <c r="O25" s="36">
        <v>0.03</v>
      </c>
      <c r="P25" s="33">
        <f t="shared" si="1"/>
        <v>-1.8189616479702409E-14</v>
      </c>
      <c r="Q25" s="33">
        <f t="shared" si="2"/>
        <v>-1.9644785798078602E-14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3354.4</v>
      </c>
      <c r="I26" s="10">
        <v>225</v>
      </c>
      <c r="J26" s="10">
        <v>175</v>
      </c>
      <c r="K26" s="21"/>
      <c r="L26" s="12"/>
      <c r="M26" s="13">
        <f t="shared" si="6"/>
        <v>1245.5999999999999</v>
      </c>
      <c r="N26" s="14">
        <f t="shared" si="0"/>
        <v>4600</v>
      </c>
      <c r="O26" s="29">
        <v>0.03</v>
      </c>
      <c r="P26" s="33">
        <f t="shared" si="1"/>
        <v>124.56</v>
      </c>
      <c r="Q26" s="33">
        <f t="shared" si="2"/>
        <v>134.5248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3354.2</v>
      </c>
      <c r="I27" s="10">
        <v>375</v>
      </c>
      <c r="J27" s="10">
        <v>140</v>
      </c>
      <c r="K27" s="21"/>
      <c r="L27" s="19"/>
      <c r="M27" s="13">
        <f t="shared" si="6"/>
        <v>4130.8</v>
      </c>
      <c r="N27" s="14">
        <f t="shared" si="0"/>
        <v>7485</v>
      </c>
      <c r="O27" s="29" t="s">
        <v>118</v>
      </c>
      <c r="P27" s="33">
        <f t="shared" si="1"/>
        <v>413.08000000000004</v>
      </c>
      <c r="Q27" s="33">
        <f t="shared" si="2"/>
        <v>446.12640000000005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3354.4</v>
      </c>
      <c r="I28" s="10">
        <v>375</v>
      </c>
      <c r="J28" s="10">
        <v>175</v>
      </c>
      <c r="K28" s="21"/>
      <c r="L28" s="12"/>
      <c r="M28" s="13">
        <f t="shared" si="6"/>
        <v>2095.6</v>
      </c>
      <c r="N28" s="14">
        <f t="shared" si="0"/>
        <v>5450</v>
      </c>
      <c r="O28" s="29" t="s">
        <v>118</v>
      </c>
      <c r="P28" s="33">
        <f t="shared" si="1"/>
        <v>209.56</v>
      </c>
      <c r="Q28" s="33">
        <f t="shared" si="2"/>
        <v>226.32480000000001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300</v>
      </c>
      <c r="J29" s="10">
        <v>70</v>
      </c>
      <c r="K29" s="21"/>
      <c r="L29" s="19"/>
      <c r="M29" s="13">
        <f t="shared" si="6"/>
        <v>2525.6</v>
      </c>
      <c r="N29" s="14">
        <f t="shared" si="0"/>
        <v>5880</v>
      </c>
      <c r="O29" s="31" t="s">
        <v>118</v>
      </c>
      <c r="P29" s="33">
        <f t="shared" si="1"/>
        <v>252.56</v>
      </c>
      <c r="Q29" s="33">
        <f t="shared" si="2"/>
        <v>272.76480000000004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3354.2</v>
      </c>
      <c r="I30" s="10">
        <v>225</v>
      </c>
      <c r="J30" s="10">
        <v>175</v>
      </c>
      <c r="K30" s="11"/>
      <c r="L30" s="19"/>
      <c r="M30" s="13">
        <f>C30-H30-I30+L30-K30-J30</f>
        <v>1245.8000000000002</v>
      </c>
      <c r="N30" s="14">
        <f>H30+M30</f>
        <v>4600</v>
      </c>
      <c r="O30" s="29" t="s">
        <v>118</v>
      </c>
      <c r="P30" s="33">
        <f>+M30*0.1</f>
        <v>124.58000000000003</v>
      </c>
      <c r="Q30" s="33">
        <f t="shared" si="2"/>
        <v>134.54640000000003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3354.4</v>
      </c>
      <c r="I31" s="10">
        <v>225</v>
      </c>
      <c r="J31" s="10">
        <v>70</v>
      </c>
      <c r="K31" s="21"/>
      <c r="L31" s="12"/>
      <c r="M31" s="13">
        <f>C31-H31-I31+L31-K31-J31</f>
        <v>1350.6</v>
      </c>
      <c r="N31" s="14">
        <f t="shared" si="0"/>
        <v>4705</v>
      </c>
      <c r="O31" s="29">
        <v>0.03</v>
      </c>
      <c r="P31" s="33">
        <f t="shared" si="1"/>
        <v>135.06</v>
      </c>
      <c r="Q31" s="33">
        <f t="shared" si="2"/>
        <v>145.8648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0</v>
      </c>
      <c r="J32" s="10">
        <v>0</v>
      </c>
      <c r="K32" s="11"/>
      <c r="L32" s="12"/>
      <c r="M32" s="13">
        <f t="shared" si="6"/>
        <v>1645.6</v>
      </c>
      <c r="N32" s="14">
        <f>H32+M32</f>
        <v>5000</v>
      </c>
      <c r="O32" s="34" t="s">
        <v>47</v>
      </c>
      <c r="P32" s="33">
        <f t="shared" si="1"/>
        <v>164.56</v>
      </c>
      <c r="Q32" s="33">
        <f t="shared" si="2"/>
        <v>177.72480000000002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3354.2</v>
      </c>
      <c r="I33" s="10">
        <v>225</v>
      </c>
      <c r="J33" s="10">
        <v>175</v>
      </c>
      <c r="K33" s="21"/>
      <c r="L33" s="12"/>
      <c r="M33" s="22">
        <f>C33-H33-I33+L33-K33-J33</f>
        <v>245.80000000000018</v>
      </c>
      <c r="N33" s="14">
        <f t="shared" si="0"/>
        <v>3600</v>
      </c>
      <c r="O33" s="5">
        <v>0.03</v>
      </c>
      <c r="P33" s="33">
        <f t="shared" si="1"/>
        <v>24.58000000000002</v>
      </c>
      <c r="Q33" s="33">
        <f t="shared" si="2"/>
        <v>26.546400000000023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3354.4</v>
      </c>
      <c r="I34" s="10">
        <v>0</v>
      </c>
      <c r="J34" s="10">
        <v>0</v>
      </c>
      <c r="K34" s="11"/>
      <c r="L34" s="19"/>
      <c r="M34" s="13">
        <f t="shared" si="6"/>
        <v>1645.6</v>
      </c>
      <c r="N34" s="14">
        <f t="shared" si="0"/>
        <v>5000</v>
      </c>
      <c r="O34" s="5" t="s">
        <v>48</v>
      </c>
      <c r="P34" s="33">
        <f t="shared" si="1"/>
        <v>164.56</v>
      </c>
      <c r="Q34" s="33">
        <f t="shared" si="2"/>
        <v>177.72480000000002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2370.8000000000002</v>
      </c>
      <c r="I35" s="10">
        <v>300</v>
      </c>
      <c r="J35" s="10">
        <v>105</v>
      </c>
      <c r="K35" s="16">
        <v>913.35</v>
      </c>
      <c r="L35" s="19"/>
      <c r="M35" s="13">
        <f t="shared" si="6"/>
        <v>310.8499999999998</v>
      </c>
      <c r="N35" s="14">
        <f t="shared" si="0"/>
        <v>2681.65</v>
      </c>
      <c r="O35" s="5">
        <v>0.03</v>
      </c>
      <c r="P35" s="33">
        <f t="shared" si="1"/>
        <v>31.08499999999998</v>
      </c>
      <c r="Q35" s="33">
        <f t="shared" si="2"/>
        <v>33.571799999999982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2848.4</v>
      </c>
      <c r="I36" s="10">
        <v>225</v>
      </c>
      <c r="J36" s="10">
        <v>35</v>
      </c>
      <c r="K36" s="16">
        <v>435.88</v>
      </c>
      <c r="L36" s="12"/>
      <c r="M36" s="13">
        <f t="shared" si="6"/>
        <v>1455.7199999999998</v>
      </c>
      <c r="N36" s="14">
        <f t="shared" si="0"/>
        <v>4304.12</v>
      </c>
      <c r="O36" s="5" t="s">
        <v>47</v>
      </c>
      <c r="P36" s="33">
        <f t="shared" si="1"/>
        <v>145.57199999999997</v>
      </c>
      <c r="Q36" s="33">
        <f t="shared" si="2"/>
        <v>157.21775999999997</v>
      </c>
    </row>
    <row r="37" spans="1:17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3354.4</v>
      </c>
      <c r="I37" s="10">
        <v>75</v>
      </c>
      <c r="J37" s="10">
        <v>0</v>
      </c>
      <c r="K37" s="11"/>
      <c r="L37" s="19"/>
      <c r="M37" s="13">
        <f t="shared" si="6"/>
        <v>570.59999999999991</v>
      </c>
      <c r="N37" s="14">
        <f t="shared" si="0"/>
        <v>3925</v>
      </c>
      <c r="O37" s="5" t="s">
        <v>47</v>
      </c>
      <c r="P37" s="33">
        <f t="shared" si="1"/>
        <v>57.059999999999995</v>
      </c>
      <c r="Q37" s="33">
        <f t="shared" si="2"/>
        <v>61.6248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3354.4</v>
      </c>
      <c r="I38" s="10">
        <v>300</v>
      </c>
      <c r="J38" s="10">
        <v>35</v>
      </c>
      <c r="K38" s="21"/>
      <c r="L38" s="19"/>
      <c r="M38" s="13">
        <f t="shared" si="6"/>
        <v>3310.6</v>
      </c>
      <c r="N38" s="14">
        <f>H38+M38</f>
        <v>6665</v>
      </c>
      <c r="O38" s="5" t="s">
        <v>118</v>
      </c>
      <c r="P38" s="33">
        <f t="shared" si="1"/>
        <v>331.06</v>
      </c>
      <c r="Q38" s="33">
        <f t="shared" si="2"/>
        <v>357.54480000000001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3135</v>
      </c>
      <c r="I39" s="10">
        <v>225</v>
      </c>
      <c r="J39" s="10">
        <v>140</v>
      </c>
      <c r="K39" s="21"/>
      <c r="L39" s="19"/>
      <c r="M39" s="22">
        <f>C39-H39-I39+L39-K39-J39</f>
        <v>0</v>
      </c>
      <c r="N39" s="14">
        <f t="shared" si="0"/>
        <v>3135</v>
      </c>
      <c r="O39" s="5">
        <v>0.03</v>
      </c>
      <c r="P39" s="33">
        <f t="shared" si="1"/>
        <v>0</v>
      </c>
      <c r="Q39" s="33">
        <f t="shared" si="2"/>
        <v>0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3081.2</v>
      </c>
      <c r="I40" s="10">
        <v>0</v>
      </c>
      <c r="J40" s="10">
        <v>0</v>
      </c>
      <c r="K40" s="21">
        <v>293.92</v>
      </c>
      <c r="L40" s="19"/>
      <c r="M40" s="98">
        <f>C40-H40-I40+L40-K40-J40+0.12</f>
        <v>1.659783421814609E-13</v>
      </c>
      <c r="N40" s="14">
        <f t="shared" si="0"/>
        <v>3081.2</v>
      </c>
      <c r="O40" s="5">
        <v>0.03</v>
      </c>
      <c r="P40" s="33">
        <f t="shared" si="1"/>
        <v>1.659783421814609E-14</v>
      </c>
      <c r="Q40" s="33">
        <f t="shared" si="2"/>
        <v>1.7925660955597778E-14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3354.4</v>
      </c>
      <c r="I41" s="10">
        <v>375</v>
      </c>
      <c r="J41" s="10">
        <v>210</v>
      </c>
      <c r="K41" s="11"/>
      <c r="L41" s="19"/>
      <c r="M41" s="13">
        <f t="shared" si="6"/>
        <v>1060.5999999999999</v>
      </c>
      <c r="N41" s="14">
        <f t="shared" si="0"/>
        <v>4415</v>
      </c>
      <c r="O41" s="5">
        <v>0.03</v>
      </c>
      <c r="P41" s="33">
        <f t="shared" si="1"/>
        <v>106.06</v>
      </c>
      <c r="Q41" s="33">
        <f t="shared" si="2"/>
        <v>114.54480000000001</v>
      </c>
    </row>
    <row r="42" spans="1:17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2986.2</v>
      </c>
      <c r="I42" s="10">
        <v>150</v>
      </c>
      <c r="J42" s="10">
        <v>70</v>
      </c>
      <c r="K42" s="21">
        <v>293.92</v>
      </c>
      <c r="L42" s="19"/>
      <c r="M42" s="98">
        <f>C42-H42-I42+L42-K42-J42+0.12</f>
        <v>1.659783421814609E-13</v>
      </c>
      <c r="N42" s="14">
        <f t="shared" si="0"/>
        <v>2986.2</v>
      </c>
      <c r="O42" s="5" t="s">
        <v>118</v>
      </c>
      <c r="P42" s="33">
        <f t="shared" si="1"/>
        <v>1.659783421814609E-14</v>
      </c>
      <c r="Q42" s="33">
        <f t="shared" si="2"/>
        <v>1.7925660955597778E-14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0</v>
      </c>
      <c r="J43" s="10">
        <v>0</v>
      </c>
      <c r="K43" s="11"/>
      <c r="L43" s="19"/>
      <c r="M43" s="13">
        <f t="shared" si="6"/>
        <v>1645.6</v>
      </c>
      <c r="N43" s="14">
        <f t="shared" si="0"/>
        <v>5000</v>
      </c>
      <c r="O43" s="5" t="s">
        <v>119</v>
      </c>
      <c r="P43" s="33">
        <f t="shared" si="1"/>
        <v>164.56</v>
      </c>
      <c r="Q43" s="33">
        <f t="shared" si="2"/>
        <v>177.72480000000002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3354.4</v>
      </c>
      <c r="I44" s="10">
        <v>0</v>
      </c>
      <c r="J44" s="10">
        <v>0</v>
      </c>
      <c r="K44" s="11"/>
      <c r="L44" s="19"/>
      <c r="M44" s="13">
        <f t="shared" si="6"/>
        <v>5395.6</v>
      </c>
      <c r="N44" s="14">
        <f t="shared" si="0"/>
        <v>8750</v>
      </c>
      <c r="O44" s="5">
        <v>0.03</v>
      </c>
      <c r="P44" s="33">
        <f t="shared" si="1"/>
        <v>539.56000000000006</v>
      </c>
      <c r="Q44" s="33">
        <f t="shared" si="2"/>
        <v>582.72480000000007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3354.2</v>
      </c>
      <c r="I45" s="10">
        <v>150</v>
      </c>
      <c r="J45" s="10">
        <v>35</v>
      </c>
      <c r="K45" s="21"/>
      <c r="L45" s="19"/>
      <c r="M45" s="13">
        <f t="shared" si="6"/>
        <v>1460.8000000000002</v>
      </c>
      <c r="N45" s="14">
        <f t="shared" si="0"/>
        <v>4815</v>
      </c>
      <c r="O45" s="5">
        <v>0.03</v>
      </c>
      <c r="P45" s="33">
        <f t="shared" si="1"/>
        <v>146.08000000000001</v>
      </c>
      <c r="Q45" s="33">
        <f t="shared" si="2"/>
        <v>157.76640000000003</v>
      </c>
    </row>
    <row r="46" spans="1:17" s="55" customFormat="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3354.4</v>
      </c>
      <c r="I46" s="10">
        <v>0</v>
      </c>
      <c r="J46" s="10">
        <v>0</v>
      </c>
      <c r="K46" s="11"/>
      <c r="L46" s="19"/>
      <c r="M46" s="13">
        <f t="shared" si="6"/>
        <v>645.59999999999991</v>
      </c>
      <c r="N46" s="14">
        <f t="shared" si="0"/>
        <v>4000</v>
      </c>
      <c r="O46" s="5" t="s">
        <v>48</v>
      </c>
      <c r="P46" s="33">
        <f t="shared" si="1"/>
        <v>64.559999999999988</v>
      </c>
      <c r="Q46" s="33">
        <f t="shared" si="2"/>
        <v>69.724799999999988</v>
      </c>
    </row>
    <row r="47" spans="1:17" s="55" customFormat="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3238.8</v>
      </c>
      <c r="I47" s="10">
        <v>0</v>
      </c>
      <c r="J47" s="10">
        <v>0</v>
      </c>
      <c r="K47" s="21">
        <v>251.43</v>
      </c>
      <c r="L47" s="12"/>
      <c r="M47" s="13">
        <f t="shared" si="6"/>
        <v>509.76999999999981</v>
      </c>
      <c r="N47" s="14">
        <f t="shared" si="0"/>
        <v>3748.57</v>
      </c>
      <c r="O47" s="5" t="s">
        <v>48</v>
      </c>
      <c r="P47" s="33">
        <f t="shared" si="1"/>
        <v>50.976999999999983</v>
      </c>
      <c r="Q47" s="33">
        <f t="shared" si="2"/>
        <v>55.055159999999987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>
        <v>375</v>
      </c>
      <c r="J48" s="10">
        <v>0</v>
      </c>
      <c r="K48" s="11"/>
      <c r="L48" s="19"/>
      <c r="M48" s="13">
        <f t="shared" si="6"/>
        <v>270.59999999999991</v>
      </c>
      <c r="N48" s="14">
        <f t="shared" si="0"/>
        <v>3625</v>
      </c>
      <c r="O48" s="5" t="s">
        <v>118</v>
      </c>
      <c r="P48" s="33">
        <f t="shared" si="1"/>
        <v>27.059999999999992</v>
      </c>
      <c r="Q48" s="33">
        <f t="shared" si="2"/>
        <v>29.224799999999991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>
        <v>375</v>
      </c>
      <c r="J49" s="10">
        <v>175</v>
      </c>
      <c r="K49" s="11"/>
      <c r="L49" s="19"/>
      <c r="M49" s="13">
        <f t="shared" si="6"/>
        <v>1095.8000000000002</v>
      </c>
      <c r="N49" s="14">
        <f t="shared" si="0"/>
        <v>4450</v>
      </c>
      <c r="O49" s="5" t="s">
        <v>118</v>
      </c>
      <c r="P49" s="33">
        <f t="shared" si="1"/>
        <v>109.58000000000003</v>
      </c>
      <c r="Q49" s="33">
        <f t="shared" si="2"/>
        <v>118.34640000000003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3354.2</v>
      </c>
      <c r="I50" s="10">
        <v>0</v>
      </c>
      <c r="J50" s="10">
        <v>0</v>
      </c>
      <c r="K50" s="11"/>
      <c r="L50" s="19">
        <v>1043.99</v>
      </c>
      <c r="M50" s="13">
        <f t="shared" si="6"/>
        <v>1189.7900000000002</v>
      </c>
      <c r="N50" s="14">
        <f t="shared" si="0"/>
        <v>4543.99</v>
      </c>
      <c r="O50" s="5">
        <v>0.03</v>
      </c>
      <c r="P50" s="33">
        <f t="shared" si="1"/>
        <v>118.97900000000003</v>
      </c>
      <c r="Q50" s="33">
        <f t="shared" si="2"/>
        <v>128.49732000000003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3354.2</v>
      </c>
      <c r="I51" s="10">
        <v>0</v>
      </c>
      <c r="J51" s="10">
        <v>0</v>
      </c>
      <c r="K51" s="11"/>
      <c r="L51" s="19"/>
      <c r="M51" s="13">
        <f t="shared" si="6"/>
        <v>145.80000000000018</v>
      </c>
      <c r="N51" s="14">
        <f t="shared" si="0"/>
        <v>3500</v>
      </c>
      <c r="O51" s="5">
        <v>0.03</v>
      </c>
      <c r="P51" s="33">
        <f t="shared" si="1"/>
        <v>14.58000000000002</v>
      </c>
      <c r="Q51" s="33">
        <f t="shared" si="2"/>
        <v>15.746400000000023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3354.2</v>
      </c>
      <c r="I52" s="10">
        <v>75</v>
      </c>
      <c r="J52" s="10">
        <v>35</v>
      </c>
      <c r="K52" s="11"/>
      <c r="L52" s="19"/>
      <c r="M52" s="13">
        <f t="shared" si="6"/>
        <v>785.80000000000018</v>
      </c>
      <c r="N52" s="14">
        <f t="shared" si="0"/>
        <v>4140</v>
      </c>
      <c r="O52" s="5">
        <v>0.03</v>
      </c>
      <c r="P52" s="33">
        <f t="shared" si="1"/>
        <v>78.580000000000027</v>
      </c>
      <c r="Q52" s="33">
        <f t="shared" si="2"/>
        <v>84.866400000000041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3354.2</v>
      </c>
      <c r="I53" s="10">
        <v>225</v>
      </c>
      <c r="J53" s="10">
        <v>210</v>
      </c>
      <c r="K53" s="11"/>
      <c r="L53" s="12"/>
      <c r="M53" s="13">
        <f t="shared" si="6"/>
        <v>210.80000000000018</v>
      </c>
      <c r="N53" s="14">
        <f t="shared" si="0"/>
        <v>3565</v>
      </c>
      <c r="O53" s="5">
        <v>0.03</v>
      </c>
      <c r="P53" s="33">
        <f t="shared" si="1"/>
        <v>21.08000000000002</v>
      </c>
      <c r="Q53" s="33">
        <f t="shared" si="2"/>
        <v>22.766400000000022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3354.2</v>
      </c>
      <c r="I54" s="10">
        <v>375</v>
      </c>
      <c r="J54" s="10">
        <v>175</v>
      </c>
      <c r="K54" s="11"/>
      <c r="L54" s="12"/>
      <c r="M54" s="22">
        <f>C54-H54-I54+L54-K54-J54+0.02</f>
        <v>95.820000000000178</v>
      </c>
      <c r="N54" s="14">
        <f t="shared" si="0"/>
        <v>3450.02</v>
      </c>
      <c r="O54" s="5">
        <v>0.03</v>
      </c>
      <c r="P54" s="33">
        <f t="shared" si="1"/>
        <v>9.5820000000000185</v>
      </c>
      <c r="Q54" s="33">
        <f t="shared" si="2"/>
        <v>10.34856000000002</v>
      </c>
    </row>
    <row r="55" spans="1:18" x14ac:dyDescent="0.25">
      <c r="A55" s="5">
        <v>295</v>
      </c>
      <c r="B55" s="6" t="s">
        <v>104</v>
      </c>
      <c r="C55" s="7">
        <v>5500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375</v>
      </c>
      <c r="J55" s="10">
        <v>70</v>
      </c>
      <c r="K55" s="11"/>
      <c r="L55" s="12"/>
      <c r="M55" s="22">
        <f>C55-H55-I55+L55-K55-J55+0.02</f>
        <v>1700.62</v>
      </c>
      <c r="N55" s="14">
        <f t="shared" si="0"/>
        <v>5055.0200000000004</v>
      </c>
      <c r="O55" s="5" t="s">
        <v>118</v>
      </c>
      <c r="P55" s="33">
        <f t="shared" si="1"/>
        <v>170.06200000000001</v>
      </c>
      <c r="Q55" s="33">
        <f t="shared" si="2"/>
        <v>183.66696000000002</v>
      </c>
    </row>
    <row r="56" spans="1:18" x14ac:dyDescent="0.25">
      <c r="A56" s="5">
        <v>296</v>
      </c>
      <c r="B56" s="6" t="s">
        <v>107</v>
      </c>
      <c r="C56" s="7">
        <v>5000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3354.4</v>
      </c>
      <c r="I56" s="10">
        <v>0</v>
      </c>
      <c r="J56" s="10">
        <v>0</v>
      </c>
      <c r="K56" s="11"/>
      <c r="L56" s="12"/>
      <c r="M56" s="22">
        <f>C56-H56-I56+L56-K56-J56+0.02</f>
        <v>1645.62</v>
      </c>
      <c r="N56" s="14">
        <f t="shared" si="0"/>
        <v>5000.0200000000004</v>
      </c>
      <c r="O56" s="5" t="s">
        <v>50</v>
      </c>
      <c r="P56" s="33">
        <f t="shared" si="1"/>
        <v>164.56200000000001</v>
      </c>
      <c r="Q56" s="33">
        <f t="shared" si="2"/>
        <v>177.72696000000002</v>
      </c>
    </row>
    <row r="57" spans="1:18" x14ac:dyDescent="0.25">
      <c r="A57" s="5">
        <v>297</v>
      </c>
      <c r="B57" s="6" t="s">
        <v>110</v>
      </c>
      <c r="C57" s="7">
        <v>4000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3354.4</v>
      </c>
      <c r="I57" s="10">
        <v>0</v>
      </c>
      <c r="J57" s="10">
        <v>0</v>
      </c>
      <c r="K57" s="11"/>
      <c r="L57" s="12"/>
      <c r="M57" s="22">
        <f>C57-H57-I57+L57-K57-J57+0.02</f>
        <v>645.61999999999989</v>
      </c>
      <c r="N57" s="14">
        <f t="shared" si="0"/>
        <v>4000.02</v>
      </c>
      <c r="O57" s="5" t="s">
        <v>50</v>
      </c>
      <c r="P57" s="33">
        <f t="shared" si="1"/>
        <v>64.561999999999998</v>
      </c>
      <c r="Q57" s="33">
        <f t="shared" si="2"/>
        <v>69.726960000000005</v>
      </c>
    </row>
    <row r="58" spans="1:18" ht="16.149999999999999" customHeight="1" thickBot="1" x14ac:dyDescent="0.3"/>
    <row r="59" spans="1:18" ht="18" thickBot="1" x14ac:dyDescent="0.35">
      <c r="A59" s="23"/>
      <c r="B59" s="24"/>
      <c r="C59" s="25">
        <f t="shared" ref="C59:N59" si="7">SUM(C4:C58)</f>
        <v>265625</v>
      </c>
      <c r="D59" s="25">
        <f t="shared" si="7"/>
        <v>22673.52</v>
      </c>
      <c r="E59" s="25">
        <f t="shared" si="7"/>
        <v>133521.83999999997</v>
      </c>
      <c r="F59" s="25">
        <f t="shared" si="7"/>
        <v>22253.64</v>
      </c>
      <c r="G59" s="25">
        <f t="shared" si="7"/>
        <v>155775.48000000013</v>
      </c>
      <c r="H59" s="25">
        <f>SUM(H4:H58)</f>
        <v>173424.99999999994</v>
      </c>
      <c r="I59" s="26">
        <f t="shared" si="7"/>
        <v>8925</v>
      </c>
      <c r="J59" s="26">
        <f t="shared" si="7"/>
        <v>4270</v>
      </c>
      <c r="K59" s="26">
        <f t="shared" si="7"/>
        <v>5176.46</v>
      </c>
      <c r="L59" s="27">
        <f>SUM(L4:L58)</f>
        <v>2115.42</v>
      </c>
      <c r="M59" s="25">
        <f>SUM(M4:M58)</f>
        <v>75944.330000000016</v>
      </c>
      <c r="N59" s="25">
        <f t="shared" si="7"/>
        <v>249369.33</v>
      </c>
      <c r="P59" s="25">
        <f>SUM(P4:P58)</f>
        <v>7594.4330000000045</v>
      </c>
      <c r="Q59" s="25">
        <f>SUM(Q4:Q58)</f>
        <v>8201.9876400000012</v>
      </c>
      <c r="R59" s="55">
        <f>+N59+Q59</f>
        <v>257571.31763999999</v>
      </c>
    </row>
    <row r="60" spans="1:18" x14ac:dyDescent="0.25">
      <c r="H60" s="15"/>
      <c r="M60" s="15"/>
    </row>
    <row r="61" spans="1:18" x14ac:dyDescent="0.25">
      <c r="H61" s="15"/>
      <c r="I61">
        <f>+I59/75</f>
        <v>119</v>
      </c>
      <c r="J61" s="28">
        <f>SUM(J59)/35</f>
        <v>122</v>
      </c>
      <c r="R61" s="55">
        <v>12886.8</v>
      </c>
    </row>
    <row r="62" spans="1:18" x14ac:dyDescent="0.25">
      <c r="F62" s="15"/>
      <c r="H62" s="15">
        <f>H59+M59</f>
        <v>249369.32999999996</v>
      </c>
      <c r="K62" s="15"/>
    </row>
    <row r="63" spans="1:18" x14ac:dyDescent="0.25">
      <c r="H63" s="15">
        <f>'[1]Nom 9'!$H$53</f>
        <v>131178.05999999994</v>
      </c>
      <c r="I63" s="40"/>
      <c r="J63" s="15"/>
    </row>
    <row r="64" spans="1:18" x14ac:dyDescent="0.25">
      <c r="H64" s="15">
        <f>[2]Rino!$H$8</f>
        <v>75398.810000000012</v>
      </c>
    </row>
    <row r="65" spans="8:10" x14ac:dyDescent="0.25">
      <c r="H65" s="15">
        <f>H63+H64</f>
        <v>206576.86999999994</v>
      </c>
    </row>
    <row r="70" spans="8:10" x14ac:dyDescent="0.25">
      <c r="J70" s="15" t="e">
        <f>(H59-#REF!-#REF!)+3354.4+2879</f>
        <v>#REF!</v>
      </c>
    </row>
  </sheetData>
  <autoFilter ref="A3:Q57" xr:uid="{00000000-0009-0000-0000-000017000000}"/>
  <mergeCells count="2">
    <mergeCell ref="A1:N1"/>
    <mergeCell ref="A2:N2"/>
  </mergeCells>
  <pageMargins left="0.25" right="0.25" top="0.75" bottom="0.75" header="0.3" footer="0.3"/>
  <pageSetup scale="48" fitToWidth="0" orientation="landscape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5">
    <pageSetUpPr fitToPage="1"/>
  </sheetPr>
  <dimension ref="A1:R72"/>
  <sheetViews>
    <sheetView showGridLines="0" topLeftCell="A38" zoomScaleNormal="100" workbookViewId="0">
      <selection activeCell="B55" sqref="B55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114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9" si="0">H4+M4</f>
        <v>0</v>
      </c>
      <c r="O4" s="81" t="s">
        <v>48</v>
      </c>
      <c r="P4" s="82">
        <f t="shared" ref="P4:P59" si="1">+M4*0.1</f>
        <v>0</v>
      </c>
      <c r="Q4" s="82">
        <f t="shared" ref="Q4:Q59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9" si="3">D5*6</f>
        <v>2519.2799999999997</v>
      </c>
      <c r="F5" s="8">
        <f t="shared" ref="F5:F59" si="4">$D$4</f>
        <v>419.88</v>
      </c>
      <c r="G5" s="9">
        <f t="shared" ref="G5:G59" si="5">E5+F5</f>
        <v>2939.16</v>
      </c>
      <c r="H5" s="37">
        <v>3354.4</v>
      </c>
      <c r="I5" s="10">
        <v>0</v>
      </c>
      <c r="J5" s="10">
        <v>0</v>
      </c>
      <c r="K5" s="11"/>
      <c r="L5" s="12"/>
      <c r="M5" s="13">
        <f>C5-H5-I5+L5-K5-J5</f>
        <v>645.59999999999991</v>
      </c>
      <c r="N5" s="14">
        <f t="shared" si="0"/>
        <v>4000</v>
      </c>
      <c r="O5" s="29" t="s">
        <v>47</v>
      </c>
      <c r="P5" s="33">
        <f t="shared" si="1"/>
        <v>64.559999999999988</v>
      </c>
      <c r="Q5" s="33">
        <f t="shared" si="2"/>
        <v>69.724799999999988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3354.2</v>
      </c>
      <c r="I6" s="18">
        <v>75</v>
      </c>
      <c r="J6" s="18">
        <v>0</v>
      </c>
      <c r="K6" s="21"/>
      <c r="L6" s="19"/>
      <c r="M6" s="13">
        <f t="shared" ref="M6:M53" si="6">C6-H6-I6+L6-K6-J6</f>
        <v>11570.8</v>
      </c>
      <c r="N6" s="14">
        <f>H6+M6</f>
        <v>14925</v>
      </c>
      <c r="O6" s="30" t="s">
        <v>118</v>
      </c>
      <c r="P6" s="33">
        <f t="shared" si="1"/>
        <v>1157.08</v>
      </c>
      <c r="Q6" s="33">
        <f t="shared" si="2"/>
        <v>1249.6464000000001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3354.4</v>
      </c>
      <c r="I7" s="10">
        <v>150</v>
      </c>
      <c r="J7" s="10">
        <v>70</v>
      </c>
      <c r="K7" s="21"/>
      <c r="L7" s="19"/>
      <c r="M7" s="13">
        <f t="shared" si="6"/>
        <v>1425.6</v>
      </c>
      <c r="N7" s="14">
        <f t="shared" si="0"/>
        <v>4780</v>
      </c>
      <c r="O7" s="36" t="s">
        <v>118</v>
      </c>
      <c r="P7" s="33">
        <f t="shared" si="1"/>
        <v>142.56</v>
      </c>
      <c r="Q7" s="33">
        <f t="shared" si="2"/>
        <v>153.96480000000003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375</v>
      </c>
      <c r="J8" s="10">
        <v>140</v>
      </c>
      <c r="K8" s="11"/>
      <c r="L8" s="12"/>
      <c r="M8" s="13">
        <f t="shared" si="6"/>
        <v>630.59999999999991</v>
      </c>
      <c r="N8" s="14">
        <f t="shared" si="0"/>
        <v>3985</v>
      </c>
      <c r="O8" s="30" t="s">
        <v>118</v>
      </c>
      <c r="P8" s="33">
        <f t="shared" si="1"/>
        <v>63.059999999999995</v>
      </c>
      <c r="Q8" s="33">
        <f t="shared" si="2"/>
        <v>68.104799999999997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3354.4</v>
      </c>
      <c r="I9" s="10">
        <v>150</v>
      </c>
      <c r="J9" s="10">
        <v>175</v>
      </c>
      <c r="K9" s="21"/>
      <c r="L9" s="12">
        <v>5000</v>
      </c>
      <c r="M9" s="22">
        <f>C9-H9-I9+L9-K9-J9</f>
        <v>5320.6</v>
      </c>
      <c r="N9" s="14">
        <f t="shared" si="0"/>
        <v>8675</v>
      </c>
      <c r="O9" s="30" t="s">
        <v>47</v>
      </c>
      <c r="P9" s="33">
        <f t="shared" si="1"/>
        <v>532.06000000000006</v>
      </c>
      <c r="Q9" s="33">
        <f t="shared" si="2"/>
        <v>574.62480000000005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3354.2</v>
      </c>
      <c r="I10" s="10">
        <v>0</v>
      </c>
      <c r="J10" s="10">
        <v>0</v>
      </c>
      <c r="K10" s="20"/>
      <c r="L10" s="19"/>
      <c r="M10" s="13">
        <f t="shared" si="6"/>
        <v>645.80000000000018</v>
      </c>
      <c r="N10" s="14">
        <f t="shared" si="0"/>
        <v>4000</v>
      </c>
      <c r="O10" s="30" t="s">
        <v>49</v>
      </c>
      <c r="P10" s="33">
        <f t="shared" si="1"/>
        <v>64.580000000000027</v>
      </c>
      <c r="Q10" s="33">
        <f t="shared" si="2"/>
        <v>69.746400000000037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225</v>
      </c>
      <c r="J11" s="10">
        <v>70</v>
      </c>
      <c r="K11" s="11"/>
      <c r="L11" s="12"/>
      <c r="M11" s="13">
        <f>C11-H11-I11+L11-K11-J11</f>
        <v>3350.6</v>
      </c>
      <c r="N11" s="14">
        <f t="shared" si="0"/>
        <v>6705</v>
      </c>
      <c r="O11" s="30" t="s">
        <v>118</v>
      </c>
      <c r="P11" s="33">
        <f t="shared" si="1"/>
        <v>335.06</v>
      </c>
      <c r="Q11" s="33">
        <f t="shared" si="2"/>
        <v>361.8648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2452</v>
      </c>
      <c r="I12" s="10">
        <v>225</v>
      </c>
      <c r="J12" s="10">
        <v>70</v>
      </c>
      <c r="K12" s="11"/>
      <c r="L12" s="19"/>
      <c r="M12" s="13">
        <f>C12-H12-I12+L12-K12-J12</f>
        <v>2253</v>
      </c>
      <c r="N12" s="14">
        <f t="shared" si="0"/>
        <v>4705</v>
      </c>
      <c r="O12" s="30">
        <v>0.03</v>
      </c>
      <c r="P12" s="33">
        <f t="shared" si="1"/>
        <v>225.3</v>
      </c>
      <c r="Q12" s="33">
        <f t="shared" si="2"/>
        <v>243.32400000000004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3095</v>
      </c>
      <c r="I13" s="10">
        <v>300</v>
      </c>
      <c r="J13" s="10">
        <v>105</v>
      </c>
      <c r="K13" s="21"/>
      <c r="L13" s="12"/>
      <c r="M13" s="13">
        <f>C13-H13-I13+L13-K13-J13</f>
        <v>0</v>
      </c>
      <c r="N13" s="14">
        <f t="shared" si="0"/>
        <v>3095</v>
      </c>
      <c r="O13" s="30">
        <v>0.03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2827.2</v>
      </c>
      <c r="I14" s="10">
        <v>375</v>
      </c>
      <c r="J14" s="10">
        <v>210</v>
      </c>
      <c r="K14" s="21">
        <v>587.84</v>
      </c>
      <c r="L14" s="12"/>
      <c r="M14" s="98">
        <f>C14-H14-I14+L14-K14-J14+0.04</f>
        <v>1.5006745845980163E-13</v>
      </c>
      <c r="N14" s="14">
        <f t="shared" si="0"/>
        <v>2827.2</v>
      </c>
      <c r="O14" s="36" t="s">
        <v>50</v>
      </c>
      <c r="P14" s="33">
        <f t="shared" si="1"/>
        <v>1.5006745845980165E-14</v>
      </c>
      <c r="Q14" s="33">
        <f t="shared" si="2"/>
        <v>1.6207285513658578E-14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>
        <v>0</v>
      </c>
      <c r="J15" s="10">
        <v>0</v>
      </c>
      <c r="K15" s="21"/>
      <c r="L15" s="19"/>
      <c r="M15" s="13">
        <f t="shared" si="6"/>
        <v>645.59999999999991</v>
      </c>
      <c r="N15" s="14">
        <f t="shared" si="0"/>
        <v>4000</v>
      </c>
      <c r="O15" s="30" t="s">
        <v>47</v>
      </c>
      <c r="P15" s="33">
        <f t="shared" si="1"/>
        <v>64.559999999999988</v>
      </c>
      <c r="Q15" s="33">
        <f t="shared" si="2"/>
        <v>69.724799999999988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3354.2</v>
      </c>
      <c r="I16" s="10">
        <v>75</v>
      </c>
      <c r="J16" s="10">
        <v>70</v>
      </c>
      <c r="K16" s="21"/>
      <c r="L16" s="12"/>
      <c r="M16" s="13">
        <f>C16-H16-I16+L16-K16-J16</f>
        <v>500.80000000000018</v>
      </c>
      <c r="N16" s="14">
        <f t="shared" si="0"/>
        <v>3855</v>
      </c>
      <c r="O16" s="29">
        <v>0.03</v>
      </c>
      <c r="P16" s="33">
        <f t="shared" si="1"/>
        <v>50.08000000000002</v>
      </c>
      <c r="Q16" s="33">
        <f t="shared" si="2"/>
        <v>54.086400000000026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3120.2</v>
      </c>
      <c r="I17" s="10">
        <v>0</v>
      </c>
      <c r="J17" s="10">
        <v>0</v>
      </c>
      <c r="K17" s="21">
        <v>293.92</v>
      </c>
      <c r="L17" s="19"/>
      <c r="M17" s="13">
        <f t="shared" si="6"/>
        <v>585.88000000000011</v>
      </c>
      <c r="N17" s="14">
        <f t="shared" si="0"/>
        <v>3706.08</v>
      </c>
      <c r="O17" s="29" t="s">
        <v>48</v>
      </c>
      <c r="P17" s="33">
        <f t="shared" si="1"/>
        <v>58.588000000000015</v>
      </c>
      <c r="Q17" s="33">
        <f t="shared" si="2"/>
        <v>63.275040000000018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3001</v>
      </c>
      <c r="I18" s="10">
        <v>375</v>
      </c>
      <c r="J18" s="10">
        <v>70</v>
      </c>
      <c r="K18" s="21">
        <v>533.09</v>
      </c>
      <c r="L18" s="12"/>
      <c r="M18" s="13">
        <f t="shared" si="6"/>
        <v>20.909999999999968</v>
      </c>
      <c r="N18" s="14">
        <f t="shared" si="0"/>
        <v>3021.91</v>
      </c>
      <c r="O18" s="29">
        <v>0.03</v>
      </c>
      <c r="P18" s="33">
        <f t="shared" si="1"/>
        <v>2.0909999999999971</v>
      </c>
      <c r="Q18" s="33">
        <f t="shared" si="2"/>
        <v>2.258279999999997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2376</v>
      </c>
      <c r="I19" s="10">
        <v>0</v>
      </c>
      <c r="J19" s="10">
        <v>0</v>
      </c>
      <c r="K19" s="16">
        <v>908.03</v>
      </c>
      <c r="L19" s="12"/>
      <c r="M19" s="13">
        <f t="shared" si="6"/>
        <v>6715.97</v>
      </c>
      <c r="N19" s="14">
        <f t="shared" si="0"/>
        <v>9091.9700000000012</v>
      </c>
      <c r="O19" s="29" t="s">
        <v>50</v>
      </c>
      <c r="P19" s="33">
        <f t="shared" si="1"/>
        <v>671.59700000000009</v>
      </c>
      <c r="Q19" s="33">
        <f t="shared" si="2"/>
        <v>725.3247600000002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3354.4</v>
      </c>
      <c r="I20" s="10">
        <v>375</v>
      </c>
      <c r="J20" s="10">
        <v>175</v>
      </c>
      <c r="K20" s="21"/>
      <c r="L20" s="19"/>
      <c r="M20" s="13">
        <f t="shared" si="6"/>
        <v>4095.6000000000004</v>
      </c>
      <c r="N20" s="14">
        <f t="shared" si="0"/>
        <v>7450</v>
      </c>
      <c r="O20" s="29">
        <v>0.03</v>
      </c>
      <c r="P20" s="33">
        <f t="shared" si="1"/>
        <v>409.56000000000006</v>
      </c>
      <c r="Q20" s="33">
        <f t="shared" si="2"/>
        <v>442.3248000000001</v>
      </c>
    </row>
    <row r="21" spans="1:17" s="55" customFormat="1" ht="13.5" customHeight="1" x14ac:dyDescent="0.25">
      <c r="A21" s="5">
        <v>204</v>
      </c>
      <c r="B21" s="6" t="s">
        <v>33</v>
      </c>
      <c r="C21" s="7">
        <v>5000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3505.6</v>
      </c>
      <c r="I21" s="10">
        <v>150</v>
      </c>
      <c r="J21" s="10">
        <v>105</v>
      </c>
      <c r="K21" s="11"/>
      <c r="L21" s="19">
        <v>714.29</v>
      </c>
      <c r="M21" s="13">
        <f t="shared" si="6"/>
        <v>1953.69</v>
      </c>
      <c r="N21" s="14">
        <f t="shared" si="0"/>
        <v>5459.29</v>
      </c>
      <c r="O21" s="29" t="s">
        <v>118</v>
      </c>
      <c r="P21" s="33">
        <f t="shared" si="1"/>
        <v>195.36900000000003</v>
      </c>
      <c r="Q21" s="33">
        <f t="shared" si="2"/>
        <v>210.99852000000004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3354.2</v>
      </c>
      <c r="I22" s="10">
        <v>0</v>
      </c>
      <c r="J22" s="10">
        <v>0</v>
      </c>
      <c r="K22" s="11"/>
      <c r="L22" s="12"/>
      <c r="M22" s="13">
        <f t="shared" si="6"/>
        <v>645.80000000000018</v>
      </c>
      <c r="N22" s="14">
        <f t="shared" si="0"/>
        <v>4000</v>
      </c>
      <c r="O22" s="29" t="s">
        <v>50</v>
      </c>
      <c r="P22" s="33">
        <f t="shared" si="1"/>
        <v>64.580000000000027</v>
      </c>
      <c r="Q22" s="33">
        <f t="shared" si="2"/>
        <v>69.746400000000037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3354.4</v>
      </c>
      <c r="I23" s="10">
        <v>375</v>
      </c>
      <c r="J23" s="10">
        <v>70</v>
      </c>
      <c r="K23" s="21"/>
      <c r="L23" s="19"/>
      <c r="M23" s="13">
        <f t="shared" si="6"/>
        <v>1200.5999999999999</v>
      </c>
      <c r="N23" s="14">
        <f t="shared" si="0"/>
        <v>4555</v>
      </c>
      <c r="O23" s="29" t="s">
        <v>118</v>
      </c>
      <c r="P23" s="33">
        <f t="shared" si="1"/>
        <v>120.06</v>
      </c>
      <c r="Q23" s="33">
        <f t="shared" si="2"/>
        <v>129.66480000000001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3354.4</v>
      </c>
      <c r="I24" s="10">
        <v>0</v>
      </c>
      <c r="J24" s="10">
        <v>0</v>
      </c>
      <c r="K24" s="12"/>
      <c r="L24" s="12"/>
      <c r="M24" s="13">
        <f t="shared" si="6"/>
        <v>145.59999999999991</v>
      </c>
      <c r="N24" s="14">
        <f t="shared" si="0"/>
        <v>3500</v>
      </c>
      <c r="O24" s="29" t="s">
        <v>49</v>
      </c>
      <c r="P24" s="33">
        <f t="shared" si="1"/>
        <v>14.559999999999992</v>
      </c>
      <c r="Q24" s="33">
        <f t="shared" si="2"/>
        <v>15.724799999999991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2744</v>
      </c>
      <c r="I25" s="10">
        <v>375</v>
      </c>
      <c r="J25" s="10">
        <v>210</v>
      </c>
      <c r="K25" s="16">
        <v>610.33000000000004</v>
      </c>
      <c r="L25" s="12"/>
      <c r="M25" s="22">
        <f>C25-H25-I25+L25-K25-J25+0.05</f>
        <v>60.719999999999956</v>
      </c>
      <c r="N25" s="14">
        <f t="shared" si="0"/>
        <v>2804.72</v>
      </c>
      <c r="O25" s="36">
        <v>0.03</v>
      </c>
      <c r="P25" s="33">
        <f t="shared" si="1"/>
        <v>6.0719999999999956</v>
      </c>
      <c r="Q25" s="33">
        <f t="shared" si="2"/>
        <v>6.5577599999999956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3432</v>
      </c>
      <c r="I26" s="10">
        <v>375</v>
      </c>
      <c r="J26" s="10">
        <v>175</v>
      </c>
      <c r="K26" s="21"/>
      <c r="L26" s="19">
        <v>357.14</v>
      </c>
      <c r="M26" s="13">
        <f t="shared" si="6"/>
        <v>1375.1399999999999</v>
      </c>
      <c r="N26" s="14">
        <f t="shared" si="0"/>
        <v>4807.1399999999994</v>
      </c>
      <c r="O26" s="29">
        <v>0.03</v>
      </c>
      <c r="P26" s="33">
        <f t="shared" si="1"/>
        <v>137.51399999999998</v>
      </c>
      <c r="Q26" s="33">
        <f t="shared" si="2"/>
        <v>148.51512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3354.4</v>
      </c>
      <c r="I27" s="10">
        <v>375</v>
      </c>
      <c r="J27" s="10">
        <v>175</v>
      </c>
      <c r="K27" s="21"/>
      <c r="L27" s="19"/>
      <c r="M27" s="13">
        <f t="shared" si="6"/>
        <v>4095.6000000000004</v>
      </c>
      <c r="N27" s="14">
        <f t="shared" si="0"/>
        <v>7450</v>
      </c>
      <c r="O27" s="29" t="s">
        <v>118</v>
      </c>
      <c r="P27" s="33">
        <f t="shared" si="1"/>
        <v>409.56000000000006</v>
      </c>
      <c r="Q27" s="33">
        <f t="shared" si="2"/>
        <v>442.3248000000001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3120.2</v>
      </c>
      <c r="I28" s="10">
        <v>375</v>
      </c>
      <c r="J28" s="10">
        <v>175</v>
      </c>
      <c r="K28" s="21">
        <v>293.92</v>
      </c>
      <c r="L28" s="12"/>
      <c r="M28" s="13">
        <f t="shared" si="6"/>
        <v>2035.88</v>
      </c>
      <c r="N28" s="14">
        <f t="shared" si="0"/>
        <v>5156.08</v>
      </c>
      <c r="O28" s="29" t="s">
        <v>118</v>
      </c>
      <c r="P28" s="33">
        <f t="shared" si="1"/>
        <v>203.58800000000002</v>
      </c>
      <c r="Q28" s="33">
        <f t="shared" si="2"/>
        <v>219.87504000000004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4407.6000000000004</v>
      </c>
      <c r="I29" s="10">
        <v>225</v>
      </c>
      <c r="J29" s="10">
        <v>105</v>
      </c>
      <c r="K29" s="21"/>
      <c r="L29" s="19">
        <v>892.85</v>
      </c>
      <c r="M29" s="13">
        <f t="shared" si="6"/>
        <v>2405.2499999999995</v>
      </c>
      <c r="N29" s="14">
        <f t="shared" si="0"/>
        <v>6812.85</v>
      </c>
      <c r="O29" s="31" t="s">
        <v>118</v>
      </c>
      <c r="P29" s="33">
        <f t="shared" si="1"/>
        <v>240.52499999999998</v>
      </c>
      <c r="Q29" s="33">
        <f t="shared" si="2"/>
        <v>259.767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3354.4</v>
      </c>
      <c r="I30" s="10">
        <v>375</v>
      </c>
      <c r="J30" s="10">
        <v>140</v>
      </c>
      <c r="K30" s="11"/>
      <c r="L30" s="19"/>
      <c r="M30" s="13">
        <f>C30-H30-I30+L30-K30-J30</f>
        <v>1130.5999999999999</v>
      </c>
      <c r="N30" s="14">
        <f>H30+M30</f>
        <v>4485</v>
      </c>
      <c r="O30" s="29" t="s">
        <v>118</v>
      </c>
      <c r="P30" s="33">
        <f>+M30*0.1</f>
        <v>113.06</v>
      </c>
      <c r="Q30" s="33">
        <f t="shared" si="2"/>
        <v>122.10480000000001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3354.2</v>
      </c>
      <c r="I31" s="10">
        <v>375</v>
      </c>
      <c r="J31" s="10">
        <v>0</v>
      </c>
      <c r="K31" s="21"/>
      <c r="L31" s="12"/>
      <c r="M31" s="13">
        <f>C31-H31-I31+L31-K31-J31</f>
        <v>1270.8000000000002</v>
      </c>
      <c r="N31" s="14">
        <f t="shared" si="0"/>
        <v>4625</v>
      </c>
      <c r="O31" s="29">
        <v>0.03</v>
      </c>
      <c r="P31" s="33">
        <f t="shared" si="1"/>
        <v>127.08000000000003</v>
      </c>
      <c r="Q31" s="33">
        <f t="shared" si="2"/>
        <v>137.24640000000005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0</v>
      </c>
      <c r="J32" s="10">
        <v>0</v>
      </c>
      <c r="K32" s="11"/>
      <c r="L32" s="12"/>
      <c r="M32" s="13">
        <f t="shared" si="6"/>
        <v>1645.6</v>
      </c>
      <c r="N32" s="14">
        <f>H32+M32</f>
        <v>5000</v>
      </c>
      <c r="O32" s="34" t="s">
        <v>47</v>
      </c>
      <c r="P32" s="33">
        <f t="shared" si="1"/>
        <v>164.56</v>
      </c>
      <c r="Q32" s="33">
        <f t="shared" si="2"/>
        <v>177.72480000000002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3354.4</v>
      </c>
      <c r="I33" s="10">
        <v>225</v>
      </c>
      <c r="J33" s="10">
        <v>105</v>
      </c>
      <c r="K33" s="21"/>
      <c r="L33" s="12"/>
      <c r="M33" s="22">
        <f>C33-H33-I33+L33-K33-J33</f>
        <v>315.59999999999991</v>
      </c>
      <c r="N33" s="14">
        <f t="shared" si="0"/>
        <v>3670</v>
      </c>
      <c r="O33" s="5">
        <v>0.03</v>
      </c>
      <c r="P33" s="33">
        <f t="shared" si="1"/>
        <v>31.559999999999992</v>
      </c>
      <c r="Q33" s="33">
        <f t="shared" si="2"/>
        <v>34.084799999999994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3354.2</v>
      </c>
      <c r="I34" s="10">
        <v>0</v>
      </c>
      <c r="J34" s="10">
        <v>0</v>
      </c>
      <c r="K34" s="11"/>
      <c r="L34" s="19"/>
      <c r="M34" s="13">
        <f t="shared" si="6"/>
        <v>1645.8000000000002</v>
      </c>
      <c r="N34" s="14">
        <f t="shared" si="0"/>
        <v>5000</v>
      </c>
      <c r="O34" s="5" t="s">
        <v>48</v>
      </c>
      <c r="P34" s="33">
        <f t="shared" si="1"/>
        <v>164.58000000000004</v>
      </c>
      <c r="Q34" s="33">
        <f t="shared" si="2"/>
        <v>177.74640000000005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2371</v>
      </c>
      <c r="I35" s="10">
        <v>225</v>
      </c>
      <c r="J35" s="10">
        <v>105</v>
      </c>
      <c r="K35" s="16">
        <v>913.35</v>
      </c>
      <c r="L35" s="19"/>
      <c r="M35" s="13">
        <f t="shared" si="6"/>
        <v>385.65</v>
      </c>
      <c r="N35" s="14">
        <f t="shared" si="0"/>
        <v>2756.65</v>
      </c>
      <c r="O35" s="5">
        <v>0.03</v>
      </c>
      <c r="P35" s="33">
        <f t="shared" si="1"/>
        <v>38.564999999999998</v>
      </c>
      <c r="Q35" s="33">
        <f t="shared" si="2"/>
        <v>41.650199999999998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2614</v>
      </c>
      <c r="I36" s="10">
        <v>375</v>
      </c>
      <c r="J36" s="10">
        <v>35</v>
      </c>
      <c r="K36" s="16">
        <v>730.47</v>
      </c>
      <c r="L36" s="12"/>
      <c r="M36" s="13">
        <f t="shared" si="6"/>
        <v>1245.53</v>
      </c>
      <c r="N36" s="14">
        <f t="shared" si="0"/>
        <v>3859.5299999999997</v>
      </c>
      <c r="O36" s="5" t="s">
        <v>47</v>
      </c>
      <c r="P36" s="33">
        <f t="shared" si="1"/>
        <v>124.553</v>
      </c>
      <c r="Q36" s="33">
        <f t="shared" si="2"/>
        <v>134.51724000000002</v>
      </c>
    </row>
    <row r="37" spans="1:17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3354.2</v>
      </c>
      <c r="I37" s="10">
        <v>0</v>
      </c>
      <c r="J37" s="10">
        <v>0</v>
      </c>
      <c r="K37" s="11"/>
      <c r="L37" s="19"/>
      <c r="M37" s="13">
        <f t="shared" si="6"/>
        <v>645.80000000000018</v>
      </c>
      <c r="N37" s="14">
        <f t="shared" si="0"/>
        <v>4000</v>
      </c>
      <c r="O37" s="5" t="s">
        <v>47</v>
      </c>
      <c r="P37" s="33">
        <f t="shared" si="1"/>
        <v>64.580000000000027</v>
      </c>
      <c r="Q37" s="33">
        <f t="shared" si="2"/>
        <v>69.746400000000037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3120.4</v>
      </c>
      <c r="I38" s="10">
        <v>225</v>
      </c>
      <c r="J38" s="10">
        <v>105</v>
      </c>
      <c r="K38" s="21">
        <v>293.92</v>
      </c>
      <c r="L38" s="19"/>
      <c r="M38" s="13">
        <f t="shared" si="6"/>
        <v>3255.68</v>
      </c>
      <c r="N38" s="14">
        <f>H38+M38</f>
        <v>6376.08</v>
      </c>
      <c r="O38" s="5" t="s">
        <v>118</v>
      </c>
      <c r="P38" s="33">
        <f t="shared" si="1"/>
        <v>325.56799999999998</v>
      </c>
      <c r="Q38" s="33">
        <f t="shared" si="2"/>
        <v>351.61344000000003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2800</v>
      </c>
      <c r="I39" s="10">
        <v>375</v>
      </c>
      <c r="J39" s="10">
        <v>105</v>
      </c>
      <c r="K39" s="21">
        <v>220</v>
      </c>
      <c r="L39" s="19"/>
      <c r="M39" s="22">
        <f>C39-H39-I39+L39-K39-J39</f>
        <v>0</v>
      </c>
      <c r="N39" s="14">
        <f t="shared" si="0"/>
        <v>2800</v>
      </c>
      <c r="O39" s="5">
        <v>0.03</v>
      </c>
      <c r="P39" s="33">
        <f t="shared" si="1"/>
        <v>0</v>
      </c>
      <c r="Q39" s="33">
        <f t="shared" si="2"/>
        <v>0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3081.2</v>
      </c>
      <c r="I40" s="10">
        <v>0</v>
      </c>
      <c r="J40" s="10">
        <v>0</v>
      </c>
      <c r="K40" s="21">
        <v>293.92</v>
      </c>
      <c r="L40" s="19"/>
      <c r="M40" s="13">
        <f>C40-H40-I40+L40-K40-J40+0.12</f>
        <v>1.659783421814609E-13</v>
      </c>
      <c r="N40" s="14">
        <f t="shared" si="0"/>
        <v>3081.2</v>
      </c>
      <c r="O40" s="5">
        <v>0.03</v>
      </c>
      <c r="P40" s="33">
        <f t="shared" si="1"/>
        <v>1.659783421814609E-14</v>
      </c>
      <c r="Q40" s="33">
        <f t="shared" si="2"/>
        <v>1.7925660955597778E-14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3354.4</v>
      </c>
      <c r="I41" s="10">
        <v>375</v>
      </c>
      <c r="J41" s="10">
        <v>140</v>
      </c>
      <c r="K41" s="11"/>
      <c r="L41" s="19"/>
      <c r="M41" s="13">
        <f t="shared" si="6"/>
        <v>1130.5999999999999</v>
      </c>
      <c r="N41" s="14">
        <f t="shared" si="0"/>
        <v>4485</v>
      </c>
      <c r="O41" s="5">
        <v>0.03</v>
      </c>
      <c r="P41" s="33">
        <f t="shared" si="1"/>
        <v>113.06</v>
      </c>
      <c r="Q41" s="33">
        <f t="shared" si="2"/>
        <v>122.10480000000001</v>
      </c>
    </row>
    <row r="42" spans="1:17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3354.2</v>
      </c>
      <c r="I42" s="10">
        <v>0</v>
      </c>
      <c r="J42" s="10">
        <v>105</v>
      </c>
      <c r="K42" s="21"/>
      <c r="L42" s="19"/>
      <c r="M42" s="22">
        <f>C42-H42-I42+L42-K42-J42+0.12</f>
        <v>40.920000000000179</v>
      </c>
      <c r="N42" s="14">
        <f t="shared" si="0"/>
        <v>3395.12</v>
      </c>
      <c r="O42" s="5" t="s">
        <v>118</v>
      </c>
      <c r="P42" s="33">
        <f t="shared" si="1"/>
        <v>4.0920000000000183</v>
      </c>
      <c r="Q42" s="33">
        <f t="shared" si="2"/>
        <v>4.4193600000000197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3354.2</v>
      </c>
      <c r="I43" s="10">
        <v>0</v>
      </c>
      <c r="J43" s="10">
        <v>0</v>
      </c>
      <c r="K43" s="11"/>
      <c r="L43" s="19"/>
      <c r="M43" s="13">
        <f t="shared" si="6"/>
        <v>1645.8000000000002</v>
      </c>
      <c r="N43" s="14">
        <f t="shared" si="0"/>
        <v>5000</v>
      </c>
      <c r="O43" s="5" t="s">
        <v>119</v>
      </c>
      <c r="P43" s="33">
        <f t="shared" si="1"/>
        <v>164.58000000000004</v>
      </c>
      <c r="Q43" s="33">
        <f t="shared" si="2"/>
        <v>177.74640000000005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3354.2</v>
      </c>
      <c r="I44" s="10">
        <v>0</v>
      </c>
      <c r="J44" s="10">
        <v>0</v>
      </c>
      <c r="K44" s="11"/>
      <c r="L44" s="19"/>
      <c r="M44" s="13">
        <f t="shared" si="6"/>
        <v>5395.8</v>
      </c>
      <c r="N44" s="14">
        <f t="shared" si="0"/>
        <v>8750</v>
      </c>
      <c r="O44" s="5">
        <v>0.03</v>
      </c>
      <c r="P44" s="33">
        <f t="shared" si="1"/>
        <v>539.58000000000004</v>
      </c>
      <c r="Q44" s="33">
        <f t="shared" si="2"/>
        <v>582.74640000000011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3354.4</v>
      </c>
      <c r="I45" s="10">
        <v>150</v>
      </c>
      <c r="J45" s="10">
        <v>35</v>
      </c>
      <c r="K45" s="21"/>
      <c r="L45" s="19"/>
      <c r="M45" s="13">
        <f t="shared" si="6"/>
        <v>1460.6</v>
      </c>
      <c r="N45" s="14">
        <f t="shared" si="0"/>
        <v>4815</v>
      </c>
      <c r="O45" s="5">
        <v>0.03</v>
      </c>
      <c r="P45" s="33">
        <f t="shared" si="1"/>
        <v>146.06</v>
      </c>
      <c r="Q45" s="33">
        <f t="shared" si="2"/>
        <v>157.74480000000003</v>
      </c>
    </row>
    <row r="46" spans="1:17" s="55" customFormat="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3354.2</v>
      </c>
      <c r="I46" s="10">
        <v>0</v>
      </c>
      <c r="J46" s="10">
        <v>0</v>
      </c>
      <c r="K46" s="11"/>
      <c r="L46" s="19"/>
      <c r="M46" s="13">
        <f t="shared" si="6"/>
        <v>645.80000000000018</v>
      </c>
      <c r="N46" s="14">
        <f t="shared" si="0"/>
        <v>4000</v>
      </c>
      <c r="O46" s="5" t="s">
        <v>48</v>
      </c>
      <c r="P46" s="33">
        <f t="shared" si="1"/>
        <v>64.580000000000027</v>
      </c>
      <c r="Q46" s="33">
        <f t="shared" si="2"/>
        <v>69.746400000000037</v>
      </c>
    </row>
    <row r="47" spans="1:17" s="55" customFormat="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3354.2</v>
      </c>
      <c r="I47" s="10">
        <v>0</v>
      </c>
      <c r="J47" s="10">
        <v>0</v>
      </c>
      <c r="K47" s="21"/>
      <c r="L47" s="12"/>
      <c r="M47" s="13">
        <f t="shared" si="6"/>
        <v>645.80000000000018</v>
      </c>
      <c r="N47" s="14">
        <f t="shared" si="0"/>
        <v>4000</v>
      </c>
      <c r="O47" s="5" t="s">
        <v>48</v>
      </c>
      <c r="P47" s="33">
        <f t="shared" si="1"/>
        <v>64.580000000000027</v>
      </c>
      <c r="Q47" s="33">
        <f t="shared" si="2"/>
        <v>69.746400000000037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3354.2</v>
      </c>
      <c r="I48" s="10">
        <v>375</v>
      </c>
      <c r="J48" s="10">
        <v>0</v>
      </c>
      <c r="K48" s="11"/>
      <c r="L48" s="19"/>
      <c r="M48" s="13">
        <f t="shared" si="6"/>
        <v>270.80000000000018</v>
      </c>
      <c r="N48" s="14">
        <f t="shared" si="0"/>
        <v>3625</v>
      </c>
      <c r="O48" s="5" t="s">
        <v>118</v>
      </c>
      <c r="P48" s="33">
        <f t="shared" si="1"/>
        <v>27.08000000000002</v>
      </c>
      <c r="Q48" s="33">
        <f t="shared" si="2"/>
        <v>29.246400000000023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3354.4</v>
      </c>
      <c r="I49" s="10">
        <v>75</v>
      </c>
      <c r="J49" s="10">
        <v>175</v>
      </c>
      <c r="K49" s="11"/>
      <c r="L49" s="19"/>
      <c r="M49" s="13">
        <f t="shared" si="6"/>
        <v>1395.6</v>
      </c>
      <c r="N49" s="14">
        <f t="shared" si="0"/>
        <v>4750</v>
      </c>
      <c r="O49" s="5" t="s">
        <v>118</v>
      </c>
      <c r="P49" s="33">
        <f t="shared" si="1"/>
        <v>139.56</v>
      </c>
      <c r="Q49" s="33">
        <f t="shared" si="2"/>
        <v>150.72480000000002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3354.4</v>
      </c>
      <c r="I50" s="10">
        <v>0</v>
      </c>
      <c r="J50" s="10">
        <v>70</v>
      </c>
      <c r="K50" s="11"/>
      <c r="L50" s="19"/>
      <c r="M50" s="13">
        <f t="shared" si="6"/>
        <v>75.599999999999909</v>
      </c>
      <c r="N50" s="14">
        <f t="shared" si="0"/>
        <v>3430</v>
      </c>
      <c r="O50" s="5">
        <v>0.03</v>
      </c>
      <c r="P50" s="33">
        <f t="shared" si="1"/>
        <v>7.5599999999999916</v>
      </c>
      <c r="Q50" s="33">
        <f t="shared" si="2"/>
        <v>8.1647999999999907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0</v>
      </c>
      <c r="J51" s="10">
        <v>0</v>
      </c>
      <c r="K51" s="11"/>
      <c r="L51" s="19"/>
      <c r="M51" s="13">
        <f t="shared" si="6"/>
        <v>145.59999999999991</v>
      </c>
      <c r="N51" s="14">
        <f t="shared" si="0"/>
        <v>3500</v>
      </c>
      <c r="O51" s="5">
        <v>0.03</v>
      </c>
      <c r="P51" s="33">
        <f t="shared" si="1"/>
        <v>14.559999999999992</v>
      </c>
      <c r="Q51" s="33">
        <f t="shared" si="2"/>
        <v>15.724799999999991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0</v>
      </c>
      <c r="J52" s="10">
        <v>70</v>
      </c>
      <c r="K52" s="11"/>
      <c r="L52" s="19"/>
      <c r="M52" s="13">
        <f t="shared" si="6"/>
        <v>825.59999999999991</v>
      </c>
      <c r="N52" s="14">
        <f t="shared" si="0"/>
        <v>4180</v>
      </c>
      <c r="O52" s="5">
        <v>0.03</v>
      </c>
      <c r="P52" s="33">
        <f t="shared" si="1"/>
        <v>82.56</v>
      </c>
      <c r="Q52" s="33">
        <f t="shared" si="2"/>
        <v>89.164800000000014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3354.4</v>
      </c>
      <c r="I53" s="10">
        <v>0</v>
      </c>
      <c r="J53" s="10">
        <v>70</v>
      </c>
      <c r="K53" s="11"/>
      <c r="L53" s="12"/>
      <c r="M53" s="13">
        <f t="shared" si="6"/>
        <v>575.59999999999991</v>
      </c>
      <c r="N53" s="14">
        <f t="shared" si="0"/>
        <v>3930</v>
      </c>
      <c r="O53" s="5">
        <v>0.03</v>
      </c>
      <c r="P53" s="33">
        <f t="shared" si="1"/>
        <v>57.559999999999995</v>
      </c>
      <c r="Q53" s="33">
        <f t="shared" si="2"/>
        <v>62.1648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3354.4</v>
      </c>
      <c r="I54" s="10">
        <v>375</v>
      </c>
      <c r="J54" s="10">
        <v>140</v>
      </c>
      <c r="K54" s="11"/>
      <c r="L54" s="12"/>
      <c r="M54" s="22">
        <f t="shared" ref="M54:M59" si="7">C54-H54-I54+L54-K54-J54+0.02</f>
        <v>130.61999999999992</v>
      </c>
      <c r="N54" s="14">
        <f t="shared" si="0"/>
        <v>3485.02</v>
      </c>
      <c r="O54" s="5">
        <v>0.03</v>
      </c>
      <c r="P54" s="33">
        <f t="shared" si="1"/>
        <v>13.061999999999992</v>
      </c>
      <c r="Q54" s="33">
        <f t="shared" si="2"/>
        <v>14.106959999999992</v>
      </c>
    </row>
    <row r="55" spans="1:18" x14ac:dyDescent="0.25">
      <c r="A55" s="5">
        <v>295</v>
      </c>
      <c r="B55" s="6" t="s">
        <v>104</v>
      </c>
      <c r="C55" s="7">
        <v>5500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3354.2</v>
      </c>
      <c r="I55" s="10">
        <v>375</v>
      </c>
      <c r="J55" s="10">
        <v>210</v>
      </c>
      <c r="K55" s="11"/>
      <c r="L55" s="12"/>
      <c r="M55" s="22">
        <f t="shared" si="7"/>
        <v>1560.8200000000002</v>
      </c>
      <c r="N55" s="14">
        <f t="shared" si="0"/>
        <v>4915.0200000000004</v>
      </c>
      <c r="O55" s="5" t="s">
        <v>118</v>
      </c>
      <c r="P55" s="33">
        <f t="shared" si="1"/>
        <v>156.08200000000002</v>
      </c>
      <c r="Q55" s="33">
        <f t="shared" si="2"/>
        <v>168.56856000000005</v>
      </c>
    </row>
    <row r="56" spans="1:18" x14ac:dyDescent="0.25">
      <c r="A56" s="5">
        <v>296</v>
      </c>
      <c r="B56" s="6" t="s">
        <v>107</v>
      </c>
      <c r="C56" s="7">
        <v>5000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3354.2</v>
      </c>
      <c r="I56" s="10">
        <v>0</v>
      </c>
      <c r="J56" s="10">
        <v>0</v>
      </c>
      <c r="K56" s="11"/>
      <c r="L56" s="12"/>
      <c r="M56" s="22">
        <f t="shared" si="7"/>
        <v>1645.8200000000002</v>
      </c>
      <c r="N56" s="14">
        <f t="shared" si="0"/>
        <v>5000.0200000000004</v>
      </c>
      <c r="O56" s="5" t="s">
        <v>50</v>
      </c>
      <c r="P56" s="33">
        <f t="shared" si="1"/>
        <v>164.58200000000002</v>
      </c>
      <c r="Q56" s="33">
        <f t="shared" si="2"/>
        <v>177.74856000000003</v>
      </c>
    </row>
    <row r="57" spans="1:18" x14ac:dyDescent="0.25">
      <c r="A57" s="5">
        <v>297</v>
      </c>
      <c r="B57" s="6" t="s">
        <v>110</v>
      </c>
      <c r="C57" s="7">
        <v>4000</v>
      </c>
      <c r="D57" s="7">
        <v>419.88</v>
      </c>
      <c r="E57" s="8">
        <f>D57*6</f>
        <v>2519.2799999999997</v>
      </c>
      <c r="F57" s="8">
        <f t="shared" si="4"/>
        <v>419.88</v>
      </c>
      <c r="G57" s="9">
        <f>E57+F57</f>
        <v>2939.16</v>
      </c>
      <c r="H57" s="37">
        <v>3354.2</v>
      </c>
      <c r="I57" s="10">
        <v>0</v>
      </c>
      <c r="J57" s="10">
        <v>0</v>
      </c>
      <c r="K57" s="11"/>
      <c r="L57" s="12"/>
      <c r="M57" s="22">
        <f t="shared" si="7"/>
        <v>645.82000000000016</v>
      </c>
      <c r="N57" s="14">
        <f>H57+M57</f>
        <v>4000.02</v>
      </c>
      <c r="O57" s="5" t="s">
        <v>50</v>
      </c>
      <c r="P57" s="33">
        <f>+M57*0.1</f>
        <v>64.582000000000022</v>
      </c>
      <c r="Q57" s="33">
        <f>+P57*1.08</f>
        <v>69.748560000000026</v>
      </c>
    </row>
    <row r="58" spans="1:18" x14ac:dyDescent="0.25">
      <c r="A58" s="5">
        <v>298</v>
      </c>
      <c r="B58" s="6" t="s">
        <v>115</v>
      </c>
      <c r="C58" s="7">
        <v>5000</v>
      </c>
      <c r="D58" s="7">
        <v>419.88</v>
      </c>
      <c r="E58" s="8">
        <f>D58*6</f>
        <v>2519.2799999999997</v>
      </c>
      <c r="F58" s="8">
        <f t="shared" si="4"/>
        <v>419.88</v>
      </c>
      <c r="G58" s="9">
        <f>E58+F58</f>
        <v>2939.16</v>
      </c>
      <c r="H58" s="37">
        <v>1849.8</v>
      </c>
      <c r="I58" s="10">
        <v>300</v>
      </c>
      <c r="J58" s="10">
        <v>0</v>
      </c>
      <c r="K58" s="16">
        <v>1434.55</v>
      </c>
      <c r="L58" s="12"/>
      <c r="M58" s="22">
        <f t="shared" si="7"/>
        <v>1415.6699999999998</v>
      </c>
      <c r="N58" s="14">
        <f>H58+M58</f>
        <v>3265.47</v>
      </c>
      <c r="O58" s="5">
        <v>0.03</v>
      </c>
      <c r="P58" s="33">
        <f>+M58*0.1</f>
        <v>141.56699999999998</v>
      </c>
      <c r="Q58" s="33">
        <f>+P58*1.08</f>
        <v>152.89236</v>
      </c>
    </row>
    <row r="59" spans="1:18" x14ac:dyDescent="0.25">
      <c r="A59" s="5">
        <v>299</v>
      </c>
      <c r="B59" s="6" t="s">
        <v>116</v>
      </c>
      <c r="C59" s="7">
        <v>4000</v>
      </c>
      <c r="D59" s="7">
        <v>419.88</v>
      </c>
      <c r="E59" s="8">
        <f t="shared" si="3"/>
        <v>2519.2799999999997</v>
      </c>
      <c r="F59" s="8">
        <f t="shared" si="4"/>
        <v>419.88</v>
      </c>
      <c r="G59" s="9">
        <f t="shared" si="5"/>
        <v>2939.16</v>
      </c>
      <c r="H59" s="37">
        <v>2879</v>
      </c>
      <c r="I59" s="10">
        <v>0</v>
      </c>
      <c r="J59" s="10">
        <v>0</v>
      </c>
      <c r="K59" s="11">
        <v>668.56</v>
      </c>
      <c r="L59" s="12"/>
      <c r="M59" s="22">
        <f t="shared" si="7"/>
        <v>452.46000000000004</v>
      </c>
      <c r="N59" s="14">
        <f t="shared" si="0"/>
        <v>3331.46</v>
      </c>
      <c r="O59" s="5">
        <v>0.03</v>
      </c>
      <c r="P59" s="33">
        <f t="shared" si="1"/>
        <v>45.246000000000009</v>
      </c>
      <c r="Q59" s="33">
        <f t="shared" si="2"/>
        <v>48.865680000000012</v>
      </c>
    </row>
    <row r="60" spans="1:18" ht="16.149999999999999" customHeight="1" thickBot="1" x14ac:dyDescent="0.3"/>
    <row r="61" spans="1:18" ht="18" thickBot="1" x14ac:dyDescent="0.35">
      <c r="A61" s="23"/>
      <c r="B61" s="24"/>
      <c r="C61" s="25">
        <f>SUM(C4:C60)</f>
        <v>274625</v>
      </c>
      <c r="D61" s="25">
        <f t="shared" ref="D61:N61" si="8">SUM(D4:D60)</f>
        <v>23513.280000000002</v>
      </c>
      <c r="E61" s="25">
        <f t="shared" si="8"/>
        <v>138560.39999999997</v>
      </c>
      <c r="F61" s="25">
        <f t="shared" si="8"/>
        <v>23093.4</v>
      </c>
      <c r="G61" s="25">
        <f t="shared" si="8"/>
        <v>161653.80000000013</v>
      </c>
      <c r="H61" s="25">
        <f>SUM(H4:H60)</f>
        <v>176905.79999999996</v>
      </c>
      <c r="I61" s="26">
        <f t="shared" si="8"/>
        <v>9150</v>
      </c>
      <c r="J61" s="26">
        <f t="shared" si="8"/>
        <v>3780</v>
      </c>
      <c r="K61" s="26">
        <f t="shared" si="8"/>
        <v>7781.9000000000015</v>
      </c>
      <c r="L61" s="27">
        <f>SUM(L4:L60)</f>
        <v>6964.2800000000007</v>
      </c>
      <c r="M61" s="25">
        <f>SUM(M4:M60)</f>
        <v>83972.030000000057</v>
      </c>
      <c r="N61" s="25">
        <f t="shared" si="8"/>
        <v>260877.82999999993</v>
      </c>
      <c r="P61" s="25">
        <f>SUM(P4:P60)</f>
        <v>8397.2030000000032</v>
      </c>
      <c r="Q61" s="25">
        <f>SUM(Q4:Q60)</f>
        <v>9068.9792400000006</v>
      </c>
      <c r="R61" s="55">
        <f>+N61+Q61</f>
        <v>269946.80923999992</v>
      </c>
    </row>
    <row r="62" spans="1:18" x14ac:dyDescent="0.25">
      <c r="H62" s="15"/>
      <c r="M62" s="15"/>
    </row>
    <row r="63" spans="1:18" x14ac:dyDescent="0.25">
      <c r="H63" s="15"/>
      <c r="I63">
        <f>+I61/75</f>
        <v>122</v>
      </c>
      <c r="J63" s="28">
        <f>SUM(J61)/35</f>
        <v>108</v>
      </c>
      <c r="R63" s="55">
        <v>12886.8</v>
      </c>
    </row>
    <row r="64" spans="1:18" x14ac:dyDescent="0.25">
      <c r="F64" s="15"/>
      <c r="H64" s="15">
        <f>H61+M61</f>
        <v>260877.83000000002</v>
      </c>
      <c r="K64" s="15"/>
    </row>
    <row r="65" spans="8:10" x14ac:dyDescent="0.25">
      <c r="H65" s="15">
        <f>'[1]Nom 9'!$H$53</f>
        <v>131178.05999999994</v>
      </c>
      <c r="I65" s="40"/>
      <c r="J65" s="15"/>
    </row>
    <row r="66" spans="8:10" x14ac:dyDescent="0.25">
      <c r="H66" s="15">
        <f>[2]Rino!$H$8</f>
        <v>75398.810000000012</v>
      </c>
    </row>
    <row r="67" spans="8:10" x14ac:dyDescent="0.25">
      <c r="H67" s="15">
        <f>H65+H66</f>
        <v>206576.86999999994</v>
      </c>
    </row>
    <row r="72" spans="8:10" x14ac:dyDescent="0.25">
      <c r="J72" s="15" t="e">
        <f>(H61-#REF!-#REF!)+3354.4+2879</f>
        <v>#REF!</v>
      </c>
    </row>
  </sheetData>
  <autoFilter ref="A3:Q59" xr:uid="{00000000-0009-0000-0000-000018000000}"/>
  <mergeCells count="2">
    <mergeCell ref="A1:N1"/>
    <mergeCell ref="A2:N2"/>
  </mergeCells>
  <pageMargins left="0.25" right="0.25" top="0.75" bottom="0.75" header="0.3" footer="0.3"/>
  <pageSetup scale="46" fitToWidth="0" orientation="landscape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26">
    <pageSetUpPr fitToPage="1"/>
  </sheetPr>
  <dimension ref="A1:R72"/>
  <sheetViews>
    <sheetView showGridLines="0" topLeftCell="A18" zoomScaleNormal="100" workbookViewId="0">
      <selection activeCell="J17" sqref="J17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117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9" si="0">H4+M4</f>
        <v>0</v>
      </c>
      <c r="O4" s="81" t="s">
        <v>48</v>
      </c>
      <c r="P4" s="82">
        <f t="shared" ref="P4:P59" si="1">+M4*0.1</f>
        <v>0</v>
      </c>
      <c r="Q4" s="82">
        <f t="shared" ref="Q4:Q59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9" si="3">D5*6</f>
        <v>2519.2799999999997</v>
      </c>
      <c r="F5" s="8">
        <f t="shared" ref="F5:F59" si="4">$D$4</f>
        <v>419.88</v>
      </c>
      <c r="G5" s="9">
        <f t="shared" ref="G5:G59" si="5">E5+F5</f>
        <v>2939.16</v>
      </c>
      <c r="H5" s="37">
        <v>3577.8</v>
      </c>
      <c r="I5" s="10">
        <v>300</v>
      </c>
      <c r="J5" s="10">
        <v>0</v>
      </c>
      <c r="K5" s="11"/>
      <c r="L5" s="19">
        <v>857.14</v>
      </c>
      <c r="M5" s="13">
        <f>C5-H5-I5+L5-K5-J5</f>
        <v>979.3399999999998</v>
      </c>
      <c r="N5" s="14">
        <f t="shared" si="0"/>
        <v>4557.1400000000003</v>
      </c>
      <c r="O5" s="29" t="s">
        <v>47</v>
      </c>
      <c r="P5" s="33">
        <f t="shared" si="1"/>
        <v>97.933999999999983</v>
      </c>
      <c r="Q5" s="33">
        <f t="shared" si="2"/>
        <v>105.76871999999999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3354.4</v>
      </c>
      <c r="I6" s="18">
        <v>150</v>
      </c>
      <c r="J6" s="18">
        <v>0</v>
      </c>
      <c r="K6" s="21"/>
      <c r="L6" s="19"/>
      <c r="M6" s="13">
        <f t="shared" ref="M6:M53" si="6">C6-H6-I6+L6-K6-J6</f>
        <v>11495.6</v>
      </c>
      <c r="N6" s="14">
        <f>H6+M6</f>
        <v>14850</v>
      </c>
      <c r="O6" s="30" t="s">
        <v>118</v>
      </c>
      <c r="P6" s="33">
        <f t="shared" si="1"/>
        <v>1149.5600000000002</v>
      </c>
      <c r="Q6" s="33">
        <f t="shared" si="2"/>
        <v>1241.5248000000004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3354.2</v>
      </c>
      <c r="I7" s="10">
        <v>75</v>
      </c>
      <c r="J7" s="10">
        <v>35</v>
      </c>
      <c r="K7" s="21"/>
      <c r="L7" s="19"/>
      <c r="M7" s="13">
        <f t="shared" si="6"/>
        <v>1535.8000000000002</v>
      </c>
      <c r="N7" s="14">
        <f t="shared" si="0"/>
        <v>4890</v>
      </c>
      <c r="O7" s="36" t="s">
        <v>118</v>
      </c>
      <c r="P7" s="33">
        <f t="shared" si="1"/>
        <v>153.58000000000004</v>
      </c>
      <c r="Q7" s="33">
        <f t="shared" si="2"/>
        <v>165.86640000000006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3354.2</v>
      </c>
      <c r="I8" s="10">
        <v>75</v>
      </c>
      <c r="J8" s="10">
        <v>70</v>
      </c>
      <c r="K8" s="11"/>
      <c r="L8" s="12"/>
      <c r="M8" s="13">
        <f t="shared" si="6"/>
        <v>1000.8000000000002</v>
      </c>
      <c r="N8" s="14">
        <f t="shared" si="0"/>
        <v>4355</v>
      </c>
      <c r="O8" s="30" t="s">
        <v>118</v>
      </c>
      <c r="P8" s="33">
        <f t="shared" si="1"/>
        <v>100.08000000000003</v>
      </c>
      <c r="Q8" s="33">
        <f t="shared" si="2"/>
        <v>108.08640000000004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3354.4</v>
      </c>
      <c r="I9" s="10">
        <v>150</v>
      </c>
      <c r="J9" s="10">
        <v>140</v>
      </c>
      <c r="K9" s="21"/>
      <c r="L9" s="12"/>
      <c r="M9" s="22">
        <f>C9-H9-I9+L9-K9-J9</f>
        <v>355.59999999999991</v>
      </c>
      <c r="N9" s="14">
        <f t="shared" si="0"/>
        <v>3710</v>
      </c>
      <c r="O9" s="30" t="s">
        <v>47</v>
      </c>
      <c r="P9" s="33">
        <f t="shared" si="1"/>
        <v>35.559999999999995</v>
      </c>
      <c r="Q9" s="33">
        <f t="shared" si="2"/>
        <v>38.404799999999994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3354.4</v>
      </c>
      <c r="I10" s="10">
        <v>0</v>
      </c>
      <c r="J10" s="10">
        <v>0</v>
      </c>
      <c r="K10" s="20"/>
      <c r="L10" s="19"/>
      <c r="M10" s="13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3354.2</v>
      </c>
      <c r="I11" s="10">
        <v>75</v>
      </c>
      <c r="J11" s="10">
        <v>35</v>
      </c>
      <c r="K11" s="11"/>
      <c r="L11" s="12"/>
      <c r="M11" s="13">
        <f>C11-H11-I11+L11-K11-J11</f>
        <v>3535.8</v>
      </c>
      <c r="N11" s="14">
        <f t="shared" si="0"/>
        <v>6890</v>
      </c>
      <c r="O11" s="30" t="s">
        <v>118</v>
      </c>
      <c r="P11" s="33">
        <f t="shared" si="1"/>
        <v>353.58000000000004</v>
      </c>
      <c r="Q11" s="33">
        <f t="shared" si="2"/>
        <v>381.86640000000006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3354.4</v>
      </c>
      <c r="I12" s="10">
        <v>150</v>
      </c>
      <c r="J12" s="10">
        <v>70</v>
      </c>
      <c r="K12" s="11"/>
      <c r="L12" s="19"/>
      <c r="M12" s="13">
        <f>C12-H12-I12+L12-K12-J12</f>
        <v>1425.6</v>
      </c>
      <c r="N12" s="14">
        <f t="shared" si="0"/>
        <v>4780</v>
      </c>
      <c r="O12" s="30">
        <v>0.03</v>
      </c>
      <c r="P12" s="33">
        <f t="shared" si="1"/>
        <v>142.56</v>
      </c>
      <c r="Q12" s="33">
        <f t="shared" si="2"/>
        <v>153.96480000000003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3210</v>
      </c>
      <c r="I13" s="10">
        <v>150</v>
      </c>
      <c r="J13" s="10">
        <v>140</v>
      </c>
      <c r="K13" s="21"/>
      <c r="L13" s="12"/>
      <c r="M13" s="13">
        <f>C13-H13-I13+L13-K13-J13</f>
        <v>0</v>
      </c>
      <c r="N13" s="14">
        <f t="shared" si="0"/>
        <v>3210</v>
      </c>
      <c r="O13" s="30">
        <v>0.03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2879.2</v>
      </c>
      <c r="I14" s="10">
        <v>0</v>
      </c>
      <c r="J14" s="10">
        <v>105</v>
      </c>
      <c r="K14" s="21">
        <v>587.84</v>
      </c>
      <c r="L14" s="12"/>
      <c r="M14" s="22">
        <f>C14-H14-I14+L14-K14-J14</f>
        <v>427.96000000000015</v>
      </c>
      <c r="N14" s="14">
        <f t="shared" si="0"/>
        <v>3307.16</v>
      </c>
      <c r="O14" s="36" t="s">
        <v>50</v>
      </c>
      <c r="P14" s="33">
        <f t="shared" si="1"/>
        <v>42.796000000000021</v>
      </c>
      <c r="Q14" s="33">
        <f t="shared" si="2"/>
        <v>46.219680000000025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3354.2</v>
      </c>
      <c r="I15" s="10">
        <v>0</v>
      </c>
      <c r="J15" s="10">
        <v>0</v>
      </c>
      <c r="K15" s="21"/>
      <c r="L15" s="19"/>
      <c r="M15" s="13">
        <f t="shared" si="6"/>
        <v>645.80000000000018</v>
      </c>
      <c r="N15" s="14">
        <f t="shared" si="0"/>
        <v>4000</v>
      </c>
      <c r="O15" s="30" t="s">
        <v>47</v>
      </c>
      <c r="P15" s="33">
        <f t="shared" si="1"/>
        <v>64.580000000000027</v>
      </c>
      <c r="Q15" s="33">
        <f t="shared" si="2"/>
        <v>69.746400000000037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3432.2</v>
      </c>
      <c r="I16" s="10">
        <v>300</v>
      </c>
      <c r="J16" s="10">
        <v>70</v>
      </c>
      <c r="K16" s="21"/>
      <c r="L16" s="19">
        <v>285.70999999999998</v>
      </c>
      <c r="M16" s="13">
        <f>C16-H16-I16+L16-K16-J16</f>
        <v>483.51000000000022</v>
      </c>
      <c r="N16" s="14">
        <f t="shared" si="0"/>
        <v>3915.71</v>
      </c>
      <c r="O16" s="29">
        <v>0.03</v>
      </c>
      <c r="P16" s="33">
        <f t="shared" si="1"/>
        <v>48.351000000000028</v>
      </c>
      <c r="Q16" s="33">
        <f t="shared" si="2"/>
        <v>52.219080000000034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3354.4</v>
      </c>
      <c r="I17" s="10">
        <v>0</v>
      </c>
      <c r="J17" s="10">
        <v>0</v>
      </c>
      <c r="K17" s="21"/>
      <c r="L17" s="19"/>
      <c r="M17" s="13">
        <f t="shared" si="6"/>
        <v>645.59999999999991</v>
      </c>
      <c r="N17" s="14">
        <f t="shared" si="0"/>
        <v>4000</v>
      </c>
      <c r="O17" s="29" t="s">
        <v>48</v>
      </c>
      <c r="P17" s="33">
        <f t="shared" si="1"/>
        <v>64.559999999999988</v>
      </c>
      <c r="Q17" s="33">
        <f t="shared" si="2"/>
        <v>69.724799999999988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3354.4</v>
      </c>
      <c r="I18" s="10">
        <v>75</v>
      </c>
      <c r="J18" s="10">
        <v>175</v>
      </c>
      <c r="K18" s="21"/>
      <c r="L18" s="12"/>
      <c r="M18" s="13">
        <f t="shared" si="6"/>
        <v>395.59999999999991</v>
      </c>
      <c r="N18" s="14">
        <f t="shared" si="0"/>
        <v>3750</v>
      </c>
      <c r="O18" s="29">
        <v>0.03</v>
      </c>
      <c r="P18" s="33">
        <f t="shared" si="1"/>
        <v>39.559999999999995</v>
      </c>
      <c r="Q18" s="33">
        <f t="shared" si="2"/>
        <v>42.724799999999995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2376</v>
      </c>
      <c r="I19" s="10">
        <v>0</v>
      </c>
      <c r="J19" s="10">
        <v>0</v>
      </c>
      <c r="K19" s="16">
        <v>908.03</v>
      </c>
      <c r="L19" s="12"/>
      <c r="M19" s="13">
        <f t="shared" si="6"/>
        <v>6715.97</v>
      </c>
      <c r="N19" s="14">
        <f t="shared" si="0"/>
        <v>9091.9700000000012</v>
      </c>
      <c r="O19" s="29" t="s">
        <v>50</v>
      </c>
      <c r="P19" s="33">
        <f t="shared" si="1"/>
        <v>671.59700000000009</v>
      </c>
      <c r="Q19" s="33">
        <f t="shared" si="2"/>
        <v>725.3247600000002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3354.2</v>
      </c>
      <c r="I20" s="10">
        <v>300</v>
      </c>
      <c r="J20" s="10">
        <v>210</v>
      </c>
      <c r="K20" s="21"/>
      <c r="L20" s="19"/>
      <c r="M20" s="13">
        <f t="shared" si="6"/>
        <v>4135.8</v>
      </c>
      <c r="N20" s="14">
        <f t="shared" si="0"/>
        <v>7490</v>
      </c>
      <c r="O20" s="29">
        <v>0.03</v>
      </c>
      <c r="P20" s="33">
        <f t="shared" si="1"/>
        <v>413.58000000000004</v>
      </c>
      <c r="Q20" s="33">
        <f t="shared" si="2"/>
        <v>446.66640000000007</v>
      </c>
    </row>
    <row r="21" spans="1:17" s="55" customFormat="1" ht="13.5" customHeight="1" x14ac:dyDescent="0.25">
      <c r="A21" s="5">
        <v>204</v>
      </c>
      <c r="B21" s="6" t="s">
        <v>33</v>
      </c>
      <c r="C21" s="7">
        <v>5000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>
        <v>75</v>
      </c>
      <c r="J21" s="10">
        <v>35</v>
      </c>
      <c r="K21" s="11"/>
      <c r="L21" s="19"/>
      <c r="M21" s="13">
        <f t="shared" si="6"/>
        <v>1535.6</v>
      </c>
      <c r="N21" s="14">
        <f t="shared" si="0"/>
        <v>4890</v>
      </c>
      <c r="O21" s="29" t="s">
        <v>118</v>
      </c>
      <c r="P21" s="33">
        <f t="shared" si="1"/>
        <v>153.56</v>
      </c>
      <c r="Q21" s="33">
        <f t="shared" si="2"/>
        <v>165.84480000000002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0</v>
      </c>
      <c r="J22" s="10">
        <v>0</v>
      </c>
      <c r="K22" s="11"/>
      <c r="L22" s="12"/>
      <c r="M22" s="13">
        <f t="shared" si="6"/>
        <v>645.59999999999991</v>
      </c>
      <c r="N22" s="14">
        <f t="shared" si="0"/>
        <v>4000</v>
      </c>
      <c r="O22" s="29" t="s">
        <v>50</v>
      </c>
      <c r="P22" s="33">
        <f t="shared" si="1"/>
        <v>64.559999999999988</v>
      </c>
      <c r="Q22" s="33">
        <f t="shared" si="2"/>
        <v>69.724799999999988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3331.8</v>
      </c>
      <c r="I23" s="10">
        <v>300</v>
      </c>
      <c r="J23" s="10">
        <v>70</v>
      </c>
      <c r="K23" s="21">
        <v>167.95</v>
      </c>
      <c r="L23" s="19">
        <v>535.71</v>
      </c>
      <c r="M23" s="13">
        <f t="shared" si="6"/>
        <v>1665.9599999999998</v>
      </c>
      <c r="N23" s="14">
        <f t="shared" si="0"/>
        <v>4997.76</v>
      </c>
      <c r="O23" s="29" t="s">
        <v>118</v>
      </c>
      <c r="P23" s="33">
        <f t="shared" si="1"/>
        <v>166.596</v>
      </c>
      <c r="Q23" s="33">
        <f t="shared" si="2"/>
        <v>179.92368000000002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3354.2</v>
      </c>
      <c r="I24" s="10">
        <v>0</v>
      </c>
      <c r="J24" s="10">
        <v>0</v>
      </c>
      <c r="K24" s="12"/>
      <c r="L24" s="12"/>
      <c r="M24" s="13">
        <f t="shared" si="6"/>
        <v>145.80000000000018</v>
      </c>
      <c r="N24" s="14">
        <f t="shared" si="0"/>
        <v>3500</v>
      </c>
      <c r="O24" s="29" t="s">
        <v>49</v>
      </c>
      <c r="P24" s="33">
        <f t="shared" si="1"/>
        <v>14.58000000000002</v>
      </c>
      <c r="Q24" s="33">
        <f t="shared" si="2"/>
        <v>15.746400000000023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2744</v>
      </c>
      <c r="I25" s="10">
        <v>300</v>
      </c>
      <c r="J25" s="10">
        <v>280</v>
      </c>
      <c r="K25" s="16">
        <v>610.33000000000004</v>
      </c>
      <c r="L25" s="12"/>
      <c r="M25" s="22">
        <f>C25-H25-I25+L25-K25-J25</f>
        <v>65.669999999999959</v>
      </c>
      <c r="N25" s="14">
        <f t="shared" si="0"/>
        <v>2809.67</v>
      </c>
      <c r="O25" s="36">
        <v>0.03</v>
      </c>
      <c r="P25" s="33">
        <f t="shared" si="1"/>
        <v>6.5669999999999966</v>
      </c>
      <c r="Q25" s="33">
        <f t="shared" si="2"/>
        <v>7.0923599999999967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3354.4</v>
      </c>
      <c r="I26" s="10">
        <v>300</v>
      </c>
      <c r="J26" s="10">
        <v>175</v>
      </c>
      <c r="K26" s="21"/>
      <c r="L26" s="19"/>
      <c r="M26" s="13">
        <f t="shared" si="6"/>
        <v>1170.5999999999999</v>
      </c>
      <c r="N26" s="14">
        <f t="shared" si="0"/>
        <v>4525</v>
      </c>
      <c r="O26" s="29">
        <v>0.03</v>
      </c>
      <c r="P26" s="33">
        <f t="shared" si="1"/>
        <v>117.06</v>
      </c>
      <c r="Q26" s="33">
        <f t="shared" si="2"/>
        <v>126.4248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3354.2</v>
      </c>
      <c r="I27" s="10">
        <v>300</v>
      </c>
      <c r="J27" s="10">
        <v>175</v>
      </c>
      <c r="K27" s="21"/>
      <c r="L27" s="19"/>
      <c r="M27" s="13">
        <f t="shared" si="6"/>
        <v>4170.8</v>
      </c>
      <c r="N27" s="14">
        <f t="shared" si="0"/>
        <v>7525</v>
      </c>
      <c r="O27" s="29" t="s">
        <v>118</v>
      </c>
      <c r="P27" s="33">
        <f t="shared" si="1"/>
        <v>417.08000000000004</v>
      </c>
      <c r="Q27" s="33">
        <f t="shared" si="2"/>
        <v>450.4464000000001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3354.4</v>
      </c>
      <c r="I28" s="10">
        <v>300</v>
      </c>
      <c r="J28" s="10">
        <v>175</v>
      </c>
      <c r="K28" s="21"/>
      <c r="L28" s="12"/>
      <c r="M28" s="13">
        <f t="shared" si="6"/>
        <v>2170.6</v>
      </c>
      <c r="N28" s="14">
        <f t="shared" si="0"/>
        <v>5525</v>
      </c>
      <c r="O28" s="29" t="s">
        <v>118</v>
      </c>
      <c r="P28" s="33">
        <f t="shared" si="1"/>
        <v>217.06</v>
      </c>
      <c r="Q28" s="33">
        <f t="shared" si="2"/>
        <v>234.4248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2452</v>
      </c>
      <c r="I29" s="10">
        <v>300</v>
      </c>
      <c r="J29" s="10">
        <v>35</v>
      </c>
      <c r="K29" s="21"/>
      <c r="L29" s="19"/>
      <c r="M29" s="13">
        <f t="shared" si="6"/>
        <v>3463</v>
      </c>
      <c r="N29" s="14">
        <f t="shared" si="0"/>
        <v>5915</v>
      </c>
      <c r="O29" s="31" t="s">
        <v>118</v>
      </c>
      <c r="P29" s="33">
        <f t="shared" si="1"/>
        <v>346.3</v>
      </c>
      <c r="Q29" s="33">
        <f t="shared" si="2"/>
        <v>374.00400000000002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3354.2</v>
      </c>
      <c r="I30" s="10">
        <v>300</v>
      </c>
      <c r="J30" s="10">
        <v>70</v>
      </c>
      <c r="K30" s="11"/>
      <c r="L30" s="19"/>
      <c r="M30" s="13">
        <f>C30-H30-I30+L30-K30-J30</f>
        <v>1275.8000000000002</v>
      </c>
      <c r="N30" s="14">
        <f>H30+M30</f>
        <v>4630</v>
      </c>
      <c r="O30" s="29" t="s">
        <v>118</v>
      </c>
      <c r="P30" s="33">
        <f>+M30*0.1</f>
        <v>127.58000000000003</v>
      </c>
      <c r="Q30" s="33">
        <f t="shared" si="2"/>
        <v>137.78640000000004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3354.4</v>
      </c>
      <c r="I31" s="10">
        <v>75</v>
      </c>
      <c r="J31" s="10">
        <v>0</v>
      </c>
      <c r="K31" s="21"/>
      <c r="L31" s="12"/>
      <c r="M31" s="13">
        <f>C31-H31-I31+L31-K31-J31</f>
        <v>1570.6</v>
      </c>
      <c r="N31" s="14">
        <f t="shared" si="0"/>
        <v>4925</v>
      </c>
      <c r="O31" s="29">
        <v>0.03</v>
      </c>
      <c r="P31" s="33">
        <f t="shared" si="1"/>
        <v>157.06</v>
      </c>
      <c r="Q31" s="33">
        <f t="shared" si="2"/>
        <v>169.62480000000002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3354.2</v>
      </c>
      <c r="I32" s="10">
        <v>0</v>
      </c>
      <c r="J32" s="10">
        <v>0</v>
      </c>
      <c r="K32" s="11"/>
      <c r="L32" s="12"/>
      <c r="M32" s="13">
        <f t="shared" si="6"/>
        <v>1645.8000000000002</v>
      </c>
      <c r="N32" s="14">
        <f>H32+M32</f>
        <v>5000</v>
      </c>
      <c r="O32" s="34" t="s">
        <v>47</v>
      </c>
      <c r="P32" s="33">
        <f t="shared" si="1"/>
        <v>164.58000000000004</v>
      </c>
      <c r="Q32" s="33">
        <f t="shared" si="2"/>
        <v>177.74640000000005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3354.2</v>
      </c>
      <c r="I33" s="10">
        <v>225</v>
      </c>
      <c r="J33" s="10">
        <v>70</v>
      </c>
      <c r="K33" s="21"/>
      <c r="L33" s="12"/>
      <c r="M33" s="22">
        <f>C33-H33-I33+L33-K33-J33</f>
        <v>350.80000000000018</v>
      </c>
      <c r="N33" s="14">
        <f t="shared" si="0"/>
        <v>3705</v>
      </c>
      <c r="O33" s="5">
        <v>0.03</v>
      </c>
      <c r="P33" s="33">
        <f t="shared" si="1"/>
        <v>35.08000000000002</v>
      </c>
      <c r="Q33" s="33">
        <f t="shared" si="2"/>
        <v>37.886400000000023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3354.4</v>
      </c>
      <c r="I34" s="10">
        <v>0</v>
      </c>
      <c r="J34" s="10">
        <v>0</v>
      </c>
      <c r="K34" s="11"/>
      <c r="L34" s="19"/>
      <c r="M34" s="13">
        <f t="shared" si="6"/>
        <v>1645.6</v>
      </c>
      <c r="N34" s="14">
        <f t="shared" si="0"/>
        <v>5000</v>
      </c>
      <c r="O34" s="5" t="s">
        <v>48</v>
      </c>
      <c r="P34" s="33">
        <f t="shared" si="1"/>
        <v>164.56</v>
      </c>
      <c r="Q34" s="33">
        <f t="shared" si="2"/>
        <v>177.72480000000002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2371</v>
      </c>
      <c r="I35" s="10">
        <v>300</v>
      </c>
      <c r="J35" s="10">
        <v>140</v>
      </c>
      <c r="K35" s="16">
        <v>913.35</v>
      </c>
      <c r="L35" s="19"/>
      <c r="M35" s="13">
        <f t="shared" si="6"/>
        <v>275.64999999999998</v>
      </c>
      <c r="N35" s="14">
        <f t="shared" si="0"/>
        <v>2646.65</v>
      </c>
      <c r="O35" s="5">
        <v>0.03</v>
      </c>
      <c r="P35" s="33">
        <f t="shared" si="1"/>
        <v>27.564999999999998</v>
      </c>
      <c r="Q35" s="33">
        <f t="shared" si="2"/>
        <v>29.770199999999999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2848.4</v>
      </c>
      <c r="I36" s="10">
        <v>225</v>
      </c>
      <c r="J36" s="10">
        <v>140</v>
      </c>
      <c r="K36" s="16">
        <v>435.88</v>
      </c>
      <c r="L36" s="12"/>
      <c r="M36" s="13">
        <f t="shared" si="6"/>
        <v>1350.7199999999998</v>
      </c>
      <c r="N36" s="14">
        <f t="shared" si="0"/>
        <v>4199.12</v>
      </c>
      <c r="O36" s="5" t="s">
        <v>47</v>
      </c>
      <c r="P36" s="33">
        <f t="shared" si="1"/>
        <v>135.07199999999997</v>
      </c>
      <c r="Q36" s="33">
        <f t="shared" si="2"/>
        <v>145.87775999999999</v>
      </c>
    </row>
    <row r="37" spans="1:17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3354.4</v>
      </c>
      <c r="I37" s="10">
        <v>150</v>
      </c>
      <c r="J37" s="10">
        <v>0</v>
      </c>
      <c r="K37" s="11"/>
      <c r="L37" s="19"/>
      <c r="M37" s="13">
        <f t="shared" si="6"/>
        <v>495.59999999999991</v>
      </c>
      <c r="N37" s="14">
        <f t="shared" si="0"/>
        <v>3850</v>
      </c>
      <c r="O37" s="5" t="s">
        <v>47</v>
      </c>
      <c r="P37" s="33">
        <f t="shared" si="1"/>
        <v>49.559999999999995</v>
      </c>
      <c r="Q37" s="33">
        <f t="shared" si="2"/>
        <v>53.524799999999999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3120.2</v>
      </c>
      <c r="I38" s="10">
        <v>300</v>
      </c>
      <c r="J38" s="10">
        <v>105</v>
      </c>
      <c r="K38" s="21">
        <v>293.92</v>
      </c>
      <c r="L38" s="19"/>
      <c r="M38" s="13">
        <f t="shared" si="6"/>
        <v>3180.88</v>
      </c>
      <c r="N38" s="14">
        <f>H38+M38</f>
        <v>6301.08</v>
      </c>
      <c r="O38" s="5" t="s">
        <v>118</v>
      </c>
      <c r="P38" s="33">
        <f t="shared" si="1"/>
        <v>318.08800000000002</v>
      </c>
      <c r="Q38" s="33">
        <f t="shared" si="2"/>
        <v>343.53504000000004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3095</v>
      </c>
      <c r="I39" s="10">
        <v>300</v>
      </c>
      <c r="J39" s="10">
        <v>105</v>
      </c>
      <c r="K39" s="21"/>
      <c r="L39" s="19"/>
      <c r="M39" s="22">
        <f>C39-H39-I39+L39-K39-J39</f>
        <v>0</v>
      </c>
      <c r="N39" s="14">
        <f t="shared" si="0"/>
        <v>3095</v>
      </c>
      <c r="O39" s="5">
        <v>0.03</v>
      </c>
      <c r="P39" s="33">
        <f t="shared" si="1"/>
        <v>0</v>
      </c>
      <c r="Q39" s="33">
        <f t="shared" si="2"/>
        <v>0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3081.2</v>
      </c>
      <c r="I40" s="10">
        <v>0</v>
      </c>
      <c r="J40" s="10">
        <v>0</v>
      </c>
      <c r="K40" s="21">
        <v>293.92</v>
      </c>
      <c r="L40" s="19"/>
      <c r="M40" s="84">
        <f>C40-H40-I40+L40-K40-J40+0.12</f>
        <v>1.659783421814609E-13</v>
      </c>
      <c r="N40" s="14">
        <f t="shared" si="0"/>
        <v>3081.2</v>
      </c>
      <c r="O40" s="5">
        <v>0.03</v>
      </c>
      <c r="P40" s="33">
        <f t="shared" si="1"/>
        <v>1.659783421814609E-14</v>
      </c>
      <c r="Q40" s="33">
        <f t="shared" si="2"/>
        <v>1.7925660955597778E-14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3354.2</v>
      </c>
      <c r="I41" s="10">
        <v>300</v>
      </c>
      <c r="J41" s="10">
        <v>140</v>
      </c>
      <c r="K41" s="11"/>
      <c r="L41" s="19"/>
      <c r="M41" s="13">
        <f t="shared" si="6"/>
        <v>1205.8000000000002</v>
      </c>
      <c r="N41" s="14">
        <f t="shared" si="0"/>
        <v>4560</v>
      </c>
      <c r="O41" s="5">
        <v>0.03</v>
      </c>
      <c r="P41" s="33">
        <f t="shared" si="1"/>
        <v>120.58000000000003</v>
      </c>
      <c r="Q41" s="33">
        <f t="shared" si="2"/>
        <v>130.22640000000004</v>
      </c>
    </row>
    <row r="42" spans="1:17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3505.8</v>
      </c>
      <c r="I42" s="10">
        <v>225</v>
      </c>
      <c r="J42" s="10">
        <v>70</v>
      </c>
      <c r="K42" s="21"/>
      <c r="L42" s="19">
        <v>500</v>
      </c>
      <c r="M42" s="22">
        <f>C42-H42-I42+L42-K42-J42</f>
        <v>199.19999999999982</v>
      </c>
      <c r="N42" s="14">
        <f t="shared" si="0"/>
        <v>3705</v>
      </c>
      <c r="O42" s="5" t="s">
        <v>118</v>
      </c>
      <c r="P42" s="33">
        <f t="shared" si="1"/>
        <v>19.919999999999984</v>
      </c>
      <c r="Q42" s="33">
        <f t="shared" si="2"/>
        <v>21.513599999999983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0</v>
      </c>
      <c r="J43" s="10">
        <v>0</v>
      </c>
      <c r="K43" s="11"/>
      <c r="L43" s="19"/>
      <c r="M43" s="13">
        <f t="shared" si="6"/>
        <v>1645.6</v>
      </c>
      <c r="N43" s="14">
        <f t="shared" si="0"/>
        <v>5000</v>
      </c>
      <c r="O43" s="5" t="s">
        <v>119</v>
      </c>
      <c r="P43" s="33">
        <f t="shared" si="1"/>
        <v>164.56</v>
      </c>
      <c r="Q43" s="33">
        <f t="shared" si="2"/>
        <v>177.72480000000002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3354.4</v>
      </c>
      <c r="I44" s="10">
        <v>0</v>
      </c>
      <c r="J44" s="10">
        <v>0</v>
      </c>
      <c r="K44" s="11"/>
      <c r="L44" s="19"/>
      <c r="M44" s="13">
        <f t="shared" si="6"/>
        <v>5395.6</v>
      </c>
      <c r="N44" s="14">
        <f t="shared" si="0"/>
        <v>8750</v>
      </c>
      <c r="O44" s="5">
        <v>0.03</v>
      </c>
      <c r="P44" s="33">
        <f t="shared" si="1"/>
        <v>539.56000000000006</v>
      </c>
      <c r="Q44" s="33">
        <f t="shared" si="2"/>
        <v>582.72480000000007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3354.2</v>
      </c>
      <c r="I45" s="10">
        <v>300</v>
      </c>
      <c r="J45" s="10">
        <v>35</v>
      </c>
      <c r="K45" s="21"/>
      <c r="L45" s="19"/>
      <c r="M45" s="13">
        <f t="shared" si="6"/>
        <v>1310.8000000000002</v>
      </c>
      <c r="N45" s="14">
        <f t="shared" si="0"/>
        <v>4665</v>
      </c>
      <c r="O45" s="5">
        <v>0.03</v>
      </c>
      <c r="P45" s="33">
        <f t="shared" si="1"/>
        <v>131.08000000000001</v>
      </c>
      <c r="Q45" s="33">
        <f t="shared" si="2"/>
        <v>141.56640000000002</v>
      </c>
    </row>
    <row r="46" spans="1:17" s="55" customFormat="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3354.4</v>
      </c>
      <c r="I46" s="10">
        <v>0</v>
      </c>
      <c r="J46" s="10">
        <v>0</v>
      </c>
      <c r="K46" s="11"/>
      <c r="L46" s="19"/>
      <c r="M46" s="13">
        <f t="shared" si="6"/>
        <v>645.59999999999991</v>
      </c>
      <c r="N46" s="14">
        <f t="shared" si="0"/>
        <v>4000</v>
      </c>
      <c r="O46" s="5" t="s">
        <v>48</v>
      </c>
      <c r="P46" s="33">
        <f t="shared" si="1"/>
        <v>64.559999999999988</v>
      </c>
      <c r="Q46" s="33">
        <f t="shared" si="2"/>
        <v>69.724799999999988</v>
      </c>
    </row>
    <row r="47" spans="1:17" s="55" customFormat="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3393.2</v>
      </c>
      <c r="I47" s="10">
        <v>0</v>
      </c>
      <c r="J47" s="10">
        <v>0</v>
      </c>
      <c r="K47" s="21"/>
      <c r="L47" s="19">
        <v>142.86000000000001</v>
      </c>
      <c r="M47" s="13">
        <f t="shared" si="6"/>
        <v>749.6600000000002</v>
      </c>
      <c r="N47" s="14">
        <f t="shared" si="0"/>
        <v>4142.8599999999997</v>
      </c>
      <c r="O47" s="5" t="s">
        <v>48</v>
      </c>
      <c r="P47" s="33">
        <f t="shared" si="1"/>
        <v>74.966000000000022</v>
      </c>
      <c r="Q47" s="33">
        <f t="shared" si="2"/>
        <v>80.963280000000026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>
        <v>300</v>
      </c>
      <c r="J48" s="10">
        <v>0</v>
      </c>
      <c r="K48" s="11"/>
      <c r="L48" s="19"/>
      <c r="M48" s="13">
        <f t="shared" si="6"/>
        <v>345.59999999999991</v>
      </c>
      <c r="N48" s="14">
        <f t="shared" si="0"/>
        <v>3700</v>
      </c>
      <c r="O48" s="5" t="s">
        <v>118</v>
      </c>
      <c r="P48" s="33">
        <f t="shared" si="1"/>
        <v>34.559999999999995</v>
      </c>
      <c r="Q48" s="33">
        <f t="shared" si="2"/>
        <v>37.324799999999996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3393.2</v>
      </c>
      <c r="I49" s="10">
        <v>75</v>
      </c>
      <c r="J49" s="10">
        <v>210</v>
      </c>
      <c r="K49" s="11"/>
      <c r="L49" s="19">
        <v>178.57</v>
      </c>
      <c r="M49" s="13">
        <f t="shared" si="6"/>
        <v>1500.3700000000001</v>
      </c>
      <c r="N49" s="14">
        <f t="shared" si="0"/>
        <v>4893.57</v>
      </c>
      <c r="O49" s="5" t="s">
        <v>118</v>
      </c>
      <c r="P49" s="33">
        <f t="shared" si="1"/>
        <v>150.03700000000001</v>
      </c>
      <c r="Q49" s="33">
        <f t="shared" si="2"/>
        <v>162.03996000000001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3354.4</v>
      </c>
      <c r="I50" s="10">
        <v>0</v>
      </c>
      <c r="J50" s="10">
        <v>0</v>
      </c>
      <c r="K50" s="11"/>
      <c r="L50" s="19">
        <v>1500</v>
      </c>
      <c r="M50" s="13">
        <f t="shared" si="6"/>
        <v>1645.6</v>
      </c>
      <c r="N50" s="14">
        <f t="shared" si="0"/>
        <v>5000</v>
      </c>
      <c r="O50" s="5">
        <v>0.03</v>
      </c>
      <c r="P50" s="33">
        <f t="shared" si="1"/>
        <v>164.56</v>
      </c>
      <c r="Q50" s="33">
        <f t="shared" si="2"/>
        <v>177.72480000000002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0</v>
      </c>
      <c r="J51" s="10">
        <v>0</v>
      </c>
      <c r="K51" s="11"/>
      <c r="L51" s="19">
        <v>1043.99</v>
      </c>
      <c r="M51" s="13">
        <f t="shared" si="6"/>
        <v>1189.5899999999999</v>
      </c>
      <c r="N51" s="14">
        <f t="shared" si="0"/>
        <v>4543.99</v>
      </c>
      <c r="O51" s="5">
        <v>0.03</v>
      </c>
      <c r="P51" s="33">
        <f t="shared" si="1"/>
        <v>118.959</v>
      </c>
      <c r="Q51" s="33">
        <f t="shared" si="2"/>
        <v>128.47572000000002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3354.2</v>
      </c>
      <c r="I52" s="10">
        <v>0</v>
      </c>
      <c r="J52" s="10">
        <v>35</v>
      </c>
      <c r="K52" s="11"/>
      <c r="L52" s="19"/>
      <c r="M52" s="13">
        <f t="shared" si="6"/>
        <v>860.80000000000018</v>
      </c>
      <c r="N52" s="14">
        <f t="shared" si="0"/>
        <v>4215</v>
      </c>
      <c r="O52" s="5">
        <v>0.03</v>
      </c>
      <c r="P52" s="33">
        <f t="shared" si="1"/>
        <v>86.080000000000027</v>
      </c>
      <c r="Q52" s="33">
        <f t="shared" si="2"/>
        <v>92.966400000000036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3354.4</v>
      </c>
      <c r="I53" s="10">
        <v>375</v>
      </c>
      <c r="J53" s="10">
        <v>175</v>
      </c>
      <c r="K53" s="11"/>
      <c r="L53" s="12"/>
      <c r="M53" s="13">
        <f t="shared" si="6"/>
        <v>95.599999999999909</v>
      </c>
      <c r="N53" s="14">
        <f t="shared" si="0"/>
        <v>3450</v>
      </c>
      <c r="O53" s="5">
        <v>0.03</v>
      </c>
      <c r="P53" s="33">
        <f t="shared" si="1"/>
        <v>9.5599999999999916</v>
      </c>
      <c r="Q53" s="33">
        <f t="shared" si="2"/>
        <v>10.324799999999991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3354.2</v>
      </c>
      <c r="I54" s="10">
        <v>300</v>
      </c>
      <c r="J54" s="10">
        <v>175</v>
      </c>
      <c r="K54" s="11"/>
      <c r="L54" s="12"/>
      <c r="M54" s="22">
        <f t="shared" ref="M54:M59" si="7">C54-H54-I54+L54-K54-J54+0.02</f>
        <v>170.82000000000019</v>
      </c>
      <c r="N54" s="14">
        <f t="shared" si="0"/>
        <v>3525.02</v>
      </c>
      <c r="O54" s="5">
        <v>0.03</v>
      </c>
      <c r="P54" s="33">
        <f t="shared" si="1"/>
        <v>17.082000000000019</v>
      </c>
      <c r="Q54" s="33">
        <f t="shared" si="2"/>
        <v>18.448560000000022</v>
      </c>
    </row>
    <row r="55" spans="1:18" x14ac:dyDescent="0.25">
      <c r="A55" s="5">
        <v>295</v>
      </c>
      <c r="B55" s="6" t="s">
        <v>104</v>
      </c>
      <c r="C55" s="7">
        <v>5500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300</v>
      </c>
      <c r="J55" s="10">
        <v>210</v>
      </c>
      <c r="K55" s="11"/>
      <c r="L55" s="12"/>
      <c r="M55" s="22">
        <f t="shared" si="7"/>
        <v>1635.62</v>
      </c>
      <c r="N55" s="14">
        <f t="shared" si="0"/>
        <v>4990.0200000000004</v>
      </c>
      <c r="O55" s="5" t="s">
        <v>118</v>
      </c>
      <c r="P55" s="33">
        <f t="shared" si="1"/>
        <v>163.56200000000001</v>
      </c>
      <c r="Q55" s="33">
        <f t="shared" si="2"/>
        <v>176.64696000000004</v>
      </c>
    </row>
    <row r="56" spans="1:18" x14ac:dyDescent="0.25">
      <c r="A56" s="42">
        <v>296</v>
      </c>
      <c r="B56" s="43" t="s">
        <v>107</v>
      </c>
      <c r="C56" s="44">
        <v>5000</v>
      </c>
      <c r="D56" s="44">
        <v>419.88</v>
      </c>
      <c r="E56" s="45">
        <f t="shared" si="3"/>
        <v>2519.2799999999997</v>
      </c>
      <c r="F56" s="45">
        <f t="shared" si="4"/>
        <v>419.88</v>
      </c>
      <c r="G56" s="46">
        <f t="shared" si="5"/>
        <v>2939.16</v>
      </c>
      <c r="H56" s="47">
        <v>0</v>
      </c>
      <c r="I56" s="48">
        <v>0</v>
      </c>
      <c r="J56" s="48">
        <v>0</v>
      </c>
      <c r="K56" s="99">
        <v>5000</v>
      </c>
      <c r="L56" s="50"/>
      <c r="M56" s="51">
        <f>C56-H56-I56+L56-K56-J56</f>
        <v>0</v>
      </c>
      <c r="N56" s="52">
        <f>H56+M56</f>
        <v>0</v>
      </c>
      <c r="O56" s="42" t="s">
        <v>50</v>
      </c>
      <c r="P56" s="54">
        <f t="shared" si="1"/>
        <v>0</v>
      </c>
      <c r="Q56" s="54">
        <f t="shared" si="2"/>
        <v>0</v>
      </c>
    </row>
    <row r="57" spans="1:18" x14ac:dyDescent="0.25">
      <c r="A57" s="5">
        <v>297</v>
      </c>
      <c r="B57" s="6" t="s">
        <v>110</v>
      </c>
      <c r="C57" s="7">
        <v>4000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3354.4</v>
      </c>
      <c r="I57" s="10">
        <v>0</v>
      </c>
      <c r="J57" s="10">
        <v>0</v>
      </c>
      <c r="K57" s="11"/>
      <c r="L57" s="12"/>
      <c r="M57" s="22">
        <f t="shared" si="7"/>
        <v>645.61999999999989</v>
      </c>
      <c r="N57" s="14">
        <f t="shared" si="0"/>
        <v>4000.02</v>
      </c>
      <c r="O57" s="5" t="s">
        <v>50</v>
      </c>
      <c r="P57" s="33">
        <f t="shared" si="1"/>
        <v>64.561999999999998</v>
      </c>
      <c r="Q57" s="33">
        <f t="shared" si="2"/>
        <v>69.726960000000005</v>
      </c>
    </row>
    <row r="58" spans="1:18" x14ac:dyDescent="0.25">
      <c r="A58" s="5">
        <v>298</v>
      </c>
      <c r="B58" s="6" t="s">
        <v>115</v>
      </c>
      <c r="C58" s="7">
        <v>5000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1807.2</v>
      </c>
      <c r="I58" s="10">
        <v>225</v>
      </c>
      <c r="J58" s="10">
        <v>0</v>
      </c>
      <c r="K58" s="16">
        <v>1462.24</v>
      </c>
      <c r="L58" s="12"/>
      <c r="M58" s="22">
        <f t="shared" si="7"/>
        <v>1505.5800000000002</v>
      </c>
      <c r="N58" s="14">
        <f t="shared" si="0"/>
        <v>3312.78</v>
      </c>
      <c r="O58" s="5">
        <v>0.03</v>
      </c>
      <c r="P58" s="33">
        <f t="shared" si="1"/>
        <v>150.55800000000002</v>
      </c>
      <c r="Q58" s="33">
        <f t="shared" si="2"/>
        <v>162.60264000000004</v>
      </c>
    </row>
    <row r="59" spans="1:18" x14ac:dyDescent="0.25">
      <c r="A59" s="5">
        <v>299</v>
      </c>
      <c r="B59" s="6" t="s">
        <v>116</v>
      </c>
      <c r="C59" s="7">
        <v>4000</v>
      </c>
      <c r="D59" s="7">
        <v>419.88</v>
      </c>
      <c r="E59" s="8">
        <f t="shared" si="3"/>
        <v>2519.2799999999997</v>
      </c>
      <c r="F59" s="8">
        <f t="shared" si="4"/>
        <v>419.88</v>
      </c>
      <c r="G59" s="9">
        <f t="shared" si="5"/>
        <v>2939.16</v>
      </c>
      <c r="H59" s="37">
        <v>3354.4</v>
      </c>
      <c r="I59" s="10">
        <v>150</v>
      </c>
      <c r="J59" s="10">
        <v>0</v>
      </c>
      <c r="K59" s="11"/>
      <c r="L59" s="12"/>
      <c r="M59" s="22">
        <f t="shared" si="7"/>
        <v>495.61999999999989</v>
      </c>
      <c r="N59" s="14">
        <f t="shared" si="0"/>
        <v>3850.02</v>
      </c>
      <c r="O59" s="5">
        <v>0.03</v>
      </c>
      <c r="P59" s="33">
        <f t="shared" si="1"/>
        <v>49.561999999999991</v>
      </c>
      <c r="Q59" s="33">
        <f t="shared" si="2"/>
        <v>53.526959999999995</v>
      </c>
    </row>
    <row r="60" spans="1:18" ht="16.149999999999999" customHeight="1" thickBot="1" x14ac:dyDescent="0.3"/>
    <row r="61" spans="1:18" ht="18" thickBot="1" x14ac:dyDescent="0.35">
      <c r="A61" s="23"/>
      <c r="B61" s="24"/>
      <c r="C61" s="25">
        <f>SUM(C4:C60)</f>
        <v>274625</v>
      </c>
      <c r="D61" s="25">
        <f t="shared" ref="D61:N61" si="8">SUM(D4:D60)</f>
        <v>23513.280000000002</v>
      </c>
      <c r="E61" s="25">
        <f t="shared" si="8"/>
        <v>138560.39999999997</v>
      </c>
      <c r="F61" s="25">
        <f t="shared" si="8"/>
        <v>23093.4</v>
      </c>
      <c r="G61" s="25">
        <f t="shared" si="8"/>
        <v>161653.80000000013</v>
      </c>
      <c r="H61" s="25">
        <f>SUM(H4:H60)</f>
        <v>174728.19999999995</v>
      </c>
      <c r="I61" s="26">
        <f t="shared" si="8"/>
        <v>8100</v>
      </c>
      <c r="J61" s="26">
        <f t="shared" si="8"/>
        <v>3675</v>
      </c>
      <c r="K61" s="26">
        <f t="shared" si="8"/>
        <v>10673.460000000001</v>
      </c>
      <c r="L61" s="27">
        <f>SUM(L4:L60)</f>
        <v>5043.9800000000005</v>
      </c>
      <c r="M61" s="25">
        <f>SUM(M4:M60)</f>
        <v>82492.540000000023</v>
      </c>
      <c r="N61" s="25">
        <f t="shared" si="8"/>
        <v>257220.73999999993</v>
      </c>
      <c r="P61" s="25">
        <f>SUM(P4:P60)</f>
        <v>8249.2540000000045</v>
      </c>
      <c r="Q61" s="25">
        <f>SUM(Q4:Q60)</f>
        <v>8909.1943200000005</v>
      </c>
      <c r="R61" s="55">
        <f>+N61+Q61</f>
        <v>266129.93431999994</v>
      </c>
    </row>
    <row r="62" spans="1:18" x14ac:dyDescent="0.25">
      <c r="H62" s="15"/>
      <c r="M62" s="15"/>
    </row>
    <row r="63" spans="1:18" x14ac:dyDescent="0.25">
      <c r="H63" s="15"/>
      <c r="I63">
        <f>+I61/75</f>
        <v>108</v>
      </c>
      <c r="J63" s="28">
        <f>SUM(J61)/35</f>
        <v>105</v>
      </c>
      <c r="R63" s="55">
        <v>12886.8</v>
      </c>
    </row>
    <row r="64" spans="1:18" x14ac:dyDescent="0.25">
      <c r="F64" s="15"/>
      <c r="H64" s="15">
        <f>H61+M61</f>
        <v>257220.74</v>
      </c>
      <c r="K64" s="15"/>
    </row>
    <row r="65" spans="8:10" x14ac:dyDescent="0.25">
      <c r="H65" s="15">
        <f>'[1]Nom 9'!$H$53</f>
        <v>131178.05999999994</v>
      </c>
      <c r="I65" s="40"/>
      <c r="J65" s="15"/>
    </row>
    <row r="66" spans="8:10" x14ac:dyDescent="0.25">
      <c r="H66" s="15">
        <f>[2]Rino!$H$8</f>
        <v>75398.810000000012</v>
      </c>
    </row>
    <row r="67" spans="8:10" x14ac:dyDescent="0.25">
      <c r="H67" s="15">
        <f>H65+H66</f>
        <v>206576.86999999994</v>
      </c>
    </row>
    <row r="72" spans="8:10" x14ac:dyDescent="0.25">
      <c r="J72" s="15" t="e">
        <f>(H61-#REF!-#REF!)+3354.4+2879</f>
        <v>#REF!</v>
      </c>
    </row>
  </sheetData>
  <autoFilter ref="A3:Q59" xr:uid="{00000000-0009-0000-0000-000019000000}"/>
  <mergeCells count="2">
    <mergeCell ref="A1:N1"/>
    <mergeCell ref="A2:N2"/>
  </mergeCells>
  <pageMargins left="0.25" right="0.25" top="0.75" bottom="0.75" header="0.3" footer="0.3"/>
  <pageSetup scale="54" fitToWidth="0" orientation="landscape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5BA2F-BE65-40EA-AABE-F5CD0C82FC56}">
  <sheetPr codeName="Hoja27">
    <pageSetUpPr fitToPage="1"/>
  </sheetPr>
  <dimension ref="A1:R73"/>
  <sheetViews>
    <sheetView showGridLines="0" topLeftCell="A28" zoomScaleNormal="100" workbookViewId="0">
      <selection activeCell="L6" sqref="L6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120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60" si="0">H4+M4</f>
        <v>0</v>
      </c>
      <c r="O4" s="81" t="s">
        <v>48</v>
      </c>
      <c r="P4" s="82">
        <f t="shared" ref="P4:P60" si="1">+M4*0.1</f>
        <v>0</v>
      </c>
      <c r="Q4" s="82">
        <f t="shared" ref="Q4:Q60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0" si="3">D5*6</f>
        <v>2519.2799999999997</v>
      </c>
      <c r="F5" s="8">
        <f t="shared" ref="F5:F60" si="4">$D$4</f>
        <v>419.88</v>
      </c>
      <c r="G5" s="9">
        <f t="shared" ref="G5:G60" si="5">E5+F5</f>
        <v>2939.16</v>
      </c>
      <c r="H5" s="37">
        <v>3354.2</v>
      </c>
      <c r="I5" s="10">
        <v>225</v>
      </c>
      <c r="J5" s="10">
        <v>0</v>
      </c>
      <c r="K5" s="11"/>
      <c r="L5" s="19"/>
      <c r="M5" s="13">
        <f>C5-H5-I5+L5-K5-J5</f>
        <v>420.80000000000018</v>
      </c>
      <c r="N5" s="14">
        <f t="shared" si="0"/>
        <v>3775</v>
      </c>
      <c r="O5" s="29" t="s">
        <v>47</v>
      </c>
      <c r="P5" s="33">
        <f t="shared" si="1"/>
        <v>42.08000000000002</v>
      </c>
      <c r="Q5" s="33">
        <f t="shared" si="2"/>
        <v>45.446400000000025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3983.6</v>
      </c>
      <c r="I6" s="18">
        <v>225</v>
      </c>
      <c r="J6" s="18">
        <v>175</v>
      </c>
      <c r="K6" s="21"/>
      <c r="L6" s="19">
        <v>3750</v>
      </c>
      <c r="M6" s="13">
        <f t="shared" ref="M6:M53" si="6">C6-H6-I6+L6-K6-J6</f>
        <v>14366.4</v>
      </c>
      <c r="N6" s="14">
        <f>H6+M6</f>
        <v>18350</v>
      </c>
      <c r="O6" s="30" t="s">
        <v>118</v>
      </c>
      <c r="P6" s="33">
        <f t="shared" si="1"/>
        <v>1436.64</v>
      </c>
      <c r="Q6" s="33">
        <f t="shared" si="2"/>
        <v>1551.5712000000003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3354.4</v>
      </c>
      <c r="I7" s="10">
        <v>225</v>
      </c>
      <c r="J7" s="10">
        <v>140</v>
      </c>
      <c r="K7" s="21"/>
      <c r="L7" s="19"/>
      <c r="M7" s="13">
        <f t="shared" si="6"/>
        <v>1280.5999999999999</v>
      </c>
      <c r="N7" s="14">
        <f t="shared" si="0"/>
        <v>4635</v>
      </c>
      <c r="O7" s="36" t="s">
        <v>118</v>
      </c>
      <c r="P7" s="33">
        <f t="shared" si="1"/>
        <v>128.06</v>
      </c>
      <c r="Q7" s="33">
        <f t="shared" si="2"/>
        <v>138.3048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225</v>
      </c>
      <c r="J8" s="10">
        <v>140</v>
      </c>
      <c r="K8" s="11"/>
      <c r="L8" s="12">
        <v>700</v>
      </c>
      <c r="M8" s="13">
        <f t="shared" si="6"/>
        <v>1480.6</v>
      </c>
      <c r="N8" s="14">
        <f t="shared" si="0"/>
        <v>4835</v>
      </c>
      <c r="O8" s="30" t="s">
        <v>118</v>
      </c>
      <c r="P8" s="33">
        <f t="shared" si="1"/>
        <v>148.06</v>
      </c>
      <c r="Q8" s="33">
        <f t="shared" si="2"/>
        <v>159.90480000000002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3354.2</v>
      </c>
      <c r="I9" s="10">
        <v>225</v>
      </c>
      <c r="J9" s="10">
        <v>210</v>
      </c>
      <c r="K9" s="21"/>
      <c r="L9" s="12"/>
      <c r="M9" s="22">
        <f>C9-H9-I9+L9-K9-J9</f>
        <v>210.80000000000018</v>
      </c>
      <c r="N9" s="14">
        <f t="shared" si="0"/>
        <v>3565</v>
      </c>
      <c r="O9" s="30" t="s">
        <v>47</v>
      </c>
      <c r="P9" s="33">
        <f t="shared" si="1"/>
        <v>21.08000000000002</v>
      </c>
      <c r="Q9" s="33">
        <f t="shared" si="2"/>
        <v>22.766400000000022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3354.2</v>
      </c>
      <c r="I10" s="10">
        <v>0</v>
      </c>
      <c r="J10" s="10">
        <v>0</v>
      </c>
      <c r="K10" s="20"/>
      <c r="L10" s="19"/>
      <c r="M10" s="13">
        <f t="shared" si="6"/>
        <v>645.80000000000018</v>
      </c>
      <c r="N10" s="14">
        <f t="shared" si="0"/>
        <v>4000</v>
      </c>
      <c r="O10" s="30" t="s">
        <v>49</v>
      </c>
      <c r="P10" s="33">
        <f t="shared" si="1"/>
        <v>64.580000000000027</v>
      </c>
      <c r="Q10" s="33">
        <f t="shared" si="2"/>
        <v>69.746400000000037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75</v>
      </c>
      <c r="J11" s="10">
        <v>70</v>
      </c>
      <c r="K11" s="11"/>
      <c r="L11" s="12"/>
      <c r="M11" s="13">
        <f>C11-H11-I11+L11-K11-J11</f>
        <v>3500.6</v>
      </c>
      <c r="N11" s="14">
        <f t="shared" si="0"/>
        <v>6855</v>
      </c>
      <c r="O11" s="30" t="s">
        <v>118</v>
      </c>
      <c r="P11" s="33">
        <f t="shared" si="1"/>
        <v>350.06</v>
      </c>
      <c r="Q11" s="33">
        <f t="shared" si="2"/>
        <v>378.06480000000005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3354.2</v>
      </c>
      <c r="I12" s="10">
        <v>225</v>
      </c>
      <c r="J12" s="10">
        <v>0</v>
      </c>
      <c r="K12" s="11"/>
      <c r="L12" s="19"/>
      <c r="M12" s="13">
        <f>C12-H12-I12+L12-K12-J12</f>
        <v>1420.8000000000002</v>
      </c>
      <c r="N12" s="14">
        <f t="shared" si="0"/>
        <v>4775</v>
      </c>
      <c r="O12" s="30">
        <v>0.03</v>
      </c>
      <c r="P12" s="33">
        <f t="shared" si="1"/>
        <v>142.08000000000001</v>
      </c>
      <c r="Q12" s="33">
        <f t="shared" si="2"/>
        <v>153.44640000000001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2730</v>
      </c>
      <c r="I13" s="10">
        <v>225</v>
      </c>
      <c r="J13" s="10">
        <v>105</v>
      </c>
      <c r="K13" s="21">
        <v>440</v>
      </c>
      <c r="L13" s="12"/>
      <c r="M13" s="13">
        <f>C13-H13-I13+L13-K13-J13</f>
        <v>0</v>
      </c>
      <c r="N13" s="14">
        <f t="shared" si="0"/>
        <v>2730</v>
      </c>
      <c r="O13" s="30">
        <v>0.03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2879</v>
      </c>
      <c r="I14" s="10">
        <v>225</v>
      </c>
      <c r="J14" s="10">
        <v>175</v>
      </c>
      <c r="K14" s="21">
        <v>587.84</v>
      </c>
      <c r="L14" s="12"/>
      <c r="M14" s="22">
        <f>C14-H14-I14+L14-K14-J14</f>
        <v>133.15999999999997</v>
      </c>
      <c r="N14" s="14">
        <f t="shared" si="0"/>
        <v>3012.16</v>
      </c>
      <c r="O14" s="36" t="s">
        <v>50</v>
      </c>
      <c r="P14" s="33">
        <f t="shared" si="1"/>
        <v>13.315999999999997</v>
      </c>
      <c r="Q14" s="33">
        <f t="shared" si="2"/>
        <v>14.381279999999999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>
        <v>0</v>
      </c>
      <c r="J15" s="10">
        <v>0</v>
      </c>
      <c r="K15" s="21"/>
      <c r="L15" s="19"/>
      <c r="M15" s="13">
        <f t="shared" si="6"/>
        <v>645.59999999999991</v>
      </c>
      <c r="N15" s="14">
        <f t="shared" si="0"/>
        <v>4000</v>
      </c>
      <c r="O15" s="30" t="s">
        <v>47</v>
      </c>
      <c r="P15" s="33">
        <f t="shared" si="1"/>
        <v>64.559999999999988</v>
      </c>
      <c r="Q15" s="33">
        <f t="shared" si="2"/>
        <v>69.724799999999988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3120.4</v>
      </c>
      <c r="I16" s="10">
        <v>375</v>
      </c>
      <c r="J16" s="10">
        <v>175</v>
      </c>
      <c r="K16" s="21">
        <v>293.92</v>
      </c>
      <c r="L16" s="19"/>
      <c r="M16" s="13">
        <f>C16-H16-I16+L16-K16-J16</f>
        <v>35.679999999999893</v>
      </c>
      <c r="N16" s="14">
        <f t="shared" si="0"/>
        <v>3156.08</v>
      </c>
      <c r="O16" s="29">
        <v>0.03</v>
      </c>
      <c r="P16" s="33">
        <f t="shared" si="1"/>
        <v>3.5679999999999894</v>
      </c>
      <c r="Q16" s="33">
        <f t="shared" si="2"/>
        <v>3.8534399999999889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3354.2</v>
      </c>
      <c r="I17" s="10">
        <v>0</v>
      </c>
      <c r="J17" s="10">
        <v>0</v>
      </c>
      <c r="K17" s="21"/>
      <c r="L17" s="19"/>
      <c r="M17" s="13">
        <f t="shared" si="6"/>
        <v>645.80000000000018</v>
      </c>
      <c r="N17" s="14">
        <f t="shared" si="0"/>
        <v>4000</v>
      </c>
      <c r="O17" s="29" t="s">
        <v>48</v>
      </c>
      <c r="P17" s="33">
        <f t="shared" si="1"/>
        <v>64.580000000000027</v>
      </c>
      <c r="Q17" s="33">
        <f t="shared" si="2"/>
        <v>69.746400000000037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3261.2</v>
      </c>
      <c r="I18" s="10">
        <v>375</v>
      </c>
      <c r="J18" s="10">
        <v>175</v>
      </c>
      <c r="K18" s="21">
        <v>209.94</v>
      </c>
      <c r="L18" s="19">
        <v>285.70999999999998</v>
      </c>
      <c r="M18" s="13">
        <f t="shared" si="6"/>
        <v>264.57000000000022</v>
      </c>
      <c r="N18" s="14">
        <f t="shared" si="0"/>
        <v>3525.77</v>
      </c>
      <c r="O18" s="29">
        <v>0.03</v>
      </c>
      <c r="P18" s="33">
        <f t="shared" si="1"/>
        <v>26.457000000000022</v>
      </c>
      <c r="Q18" s="33">
        <f t="shared" si="2"/>
        <v>28.573560000000025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2376</v>
      </c>
      <c r="I19" s="10">
        <v>0</v>
      </c>
      <c r="J19" s="10">
        <v>0</v>
      </c>
      <c r="K19" s="16">
        <v>908.03</v>
      </c>
      <c r="L19" s="12"/>
      <c r="M19" s="13">
        <f t="shared" si="6"/>
        <v>6715.97</v>
      </c>
      <c r="N19" s="14">
        <f t="shared" si="0"/>
        <v>9091.9700000000012</v>
      </c>
      <c r="O19" s="29" t="s">
        <v>50</v>
      </c>
      <c r="P19" s="33">
        <f t="shared" si="1"/>
        <v>671.59700000000009</v>
      </c>
      <c r="Q19" s="33">
        <f t="shared" si="2"/>
        <v>725.3247600000002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3354.4</v>
      </c>
      <c r="I20" s="10">
        <v>375</v>
      </c>
      <c r="J20" s="10">
        <v>175</v>
      </c>
      <c r="K20" s="21"/>
      <c r="L20" s="19"/>
      <c r="M20" s="13">
        <f t="shared" si="6"/>
        <v>4095.6000000000004</v>
      </c>
      <c r="N20" s="14">
        <f t="shared" si="0"/>
        <v>7450</v>
      </c>
      <c r="O20" s="29">
        <v>0.03</v>
      </c>
      <c r="P20" s="33">
        <f t="shared" si="1"/>
        <v>409.56000000000006</v>
      </c>
      <c r="Q20" s="33">
        <f t="shared" si="2"/>
        <v>442.3248000000001</v>
      </c>
    </row>
    <row r="21" spans="1:17" s="55" customFormat="1" ht="13.5" customHeight="1" x14ac:dyDescent="0.25">
      <c r="A21" s="5">
        <v>204</v>
      </c>
      <c r="B21" s="6" t="s">
        <v>33</v>
      </c>
      <c r="C21" s="7">
        <v>5000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3354.2</v>
      </c>
      <c r="I21" s="10">
        <v>150</v>
      </c>
      <c r="J21" s="10">
        <v>140</v>
      </c>
      <c r="K21" s="11"/>
      <c r="L21" s="19"/>
      <c r="M21" s="13">
        <f t="shared" si="6"/>
        <v>1355.8000000000002</v>
      </c>
      <c r="N21" s="14">
        <f t="shared" si="0"/>
        <v>4710</v>
      </c>
      <c r="O21" s="29" t="s">
        <v>118</v>
      </c>
      <c r="P21" s="33">
        <f t="shared" si="1"/>
        <v>135.58000000000001</v>
      </c>
      <c r="Q21" s="33">
        <f t="shared" si="2"/>
        <v>146.42640000000003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3354.2</v>
      </c>
      <c r="I22" s="10">
        <v>0</v>
      </c>
      <c r="J22" s="10">
        <v>0</v>
      </c>
      <c r="K22" s="11"/>
      <c r="L22" s="12"/>
      <c r="M22" s="13">
        <f t="shared" si="6"/>
        <v>645.80000000000018</v>
      </c>
      <c r="N22" s="14">
        <f t="shared" si="0"/>
        <v>4000</v>
      </c>
      <c r="O22" s="29" t="s">
        <v>50</v>
      </c>
      <c r="P22" s="33">
        <f t="shared" si="1"/>
        <v>64.580000000000027</v>
      </c>
      <c r="Q22" s="33">
        <f t="shared" si="2"/>
        <v>69.746400000000037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3354.2</v>
      </c>
      <c r="I23" s="10">
        <v>225</v>
      </c>
      <c r="J23" s="10">
        <v>105</v>
      </c>
      <c r="K23" s="21"/>
      <c r="L23" s="19"/>
      <c r="M23" s="13">
        <f t="shared" si="6"/>
        <v>1315.8000000000002</v>
      </c>
      <c r="N23" s="14">
        <f t="shared" si="0"/>
        <v>4670</v>
      </c>
      <c r="O23" s="29" t="s">
        <v>118</v>
      </c>
      <c r="P23" s="33">
        <f t="shared" si="1"/>
        <v>131.58000000000001</v>
      </c>
      <c r="Q23" s="33">
        <f t="shared" si="2"/>
        <v>142.10640000000004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3354.4</v>
      </c>
      <c r="I24" s="10">
        <v>0</v>
      </c>
      <c r="J24" s="10">
        <v>0</v>
      </c>
      <c r="K24" s="12"/>
      <c r="L24" s="12"/>
      <c r="M24" s="13">
        <f t="shared" si="6"/>
        <v>145.59999999999991</v>
      </c>
      <c r="N24" s="14">
        <f t="shared" si="0"/>
        <v>3500</v>
      </c>
      <c r="O24" s="29" t="s">
        <v>49</v>
      </c>
      <c r="P24" s="33">
        <f t="shared" si="1"/>
        <v>14.559999999999992</v>
      </c>
      <c r="Q24" s="33">
        <f t="shared" si="2"/>
        <v>15.724799999999991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2510</v>
      </c>
      <c r="I25" s="10">
        <v>375</v>
      </c>
      <c r="J25" s="10">
        <v>175</v>
      </c>
      <c r="K25" s="16">
        <v>904.25</v>
      </c>
      <c r="L25" s="12"/>
      <c r="M25" s="22">
        <f>C25-H25-I25+L25-K25-J25</f>
        <v>35.75</v>
      </c>
      <c r="N25" s="14">
        <f t="shared" si="0"/>
        <v>2545.75</v>
      </c>
      <c r="O25" s="36">
        <v>0.03</v>
      </c>
      <c r="P25" s="33">
        <f t="shared" si="1"/>
        <v>3.5750000000000002</v>
      </c>
      <c r="Q25" s="33">
        <f t="shared" si="2"/>
        <v>3.8610000000000007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3354.4</v>
      </c>
      <c r="I26" s="10">
        <v>375</v>
      </c>
      <c r="J26" s="10">
        <v>175</v>
      </c>
      <c r="K26" s="21"/>
      <c r="L26" s="19"/>
      <c r="M26" s="13">
        <f t="shared" si="6"/>
        <v>1095.5999999999999</v>
      </c>
      <c r="N26" s="14">
        <f t="shared" si="0"/>
        <v>4450</v>
      </c>
      <c r="O26" s="29">
        <v>0.03</v>
      </c>
      <c r="P26" s="33">
        <f t="shared" si="1"/>
        <v>109.56</v>
      </c>
      <c r="Q26" s="33">
        <f t="shared" si="2"/>
        <v>118.32480000000001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3354.4</v>
      </c>
      <c r="I27" s="10">
        <v>150</v>
      </c>
      <c r="J27" s="10">
        <v>105</v>
      </c>
      <c r="K27" s="21"/>
      <c r="L27" s="19"/>
      <c r="M27" s="13">
        <f t="shared" si="6"/>
        <v>4390.6000000000004</v>
      </c>
      <c r="N27" s="14">
        <f t="shared" si="0"/>
        <v>7745</v>
      </c>
      <c r="O27" s="29" t="s">
        <v>118</v>
      </c>
      <c r="P27" s="33">
        <f t="shared" si="1"/>
        <v>439.06000000000006</v>
      </c>
      <c r="Q27" s="33">
        <f t="shared" si="2"/>
        <v>474.18480000000011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3354.2</v>
      </c>
      <c r="I28" s="10">
        <v>375</v>
      </c>
      <c r="J28" s="10">
        <v>175</v>
      </c>
      <c r="K28" s="21"/>
      <c r="L28" s="12">
        <v>439</v>
      </c>
      <c r="M28" s="13">
        <f t="shared" si="6"/>
        <v>2534.8000000000002</v>
      </c>
      <c r="N28" s="14">
        <f t="shared" si="0"/>
        <v>5889</v>
      </c>
      <c r="O28" s="29" t="s">
        <v>118</v>
      </c>
      <c r="P28" s="33">
        <f t="shared" si="1"/>
        <v>253.48000000000002</v>
      </c>
      <c r="Q28" s="33">
        <f t="shared" si="2"/>
        <v>273.75840000000005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375</v>
      </c>
      <c r="J29" s="10">
        <v>70</v>
      </c>
      <c r="K29" s="21"/>
      <c r="L29" s="19"/>
      <c r="M29" s="13">
        <f t="shared" si="6"/>
        <v>2450.6</v>
      </c>
      <c r="N29" s="14">
        <f t="shared" si="0"/>
        <v>5805</v>
      </c>
      <c r="O29" s="31" t="s">
        <v>118</v>
      </c>
      <c r="P29" s="33">
        <f t="shared" si="1"/>
        <v>245.06</v>
      </c>
      <c r="Q29" s="33">
        <f t="shared" si="2"/>
        <v>264.66480000000001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3354.4</v>
      </c>
      <c r="I30" s="10">
        <v>375</v>
      </c>
      <c r="J30" s="10">
        <v>105</v>
      </c>
      <c r="K30" s="11"/>
      <c r="L30" s="19"/>
      <c r="M30" s="13">
        <f>C30-H30-I30+L30-K30-J30</f>
        <v>1165.5999999999999</v>
      </c>
      <c r="N30" s="14">
        <f>H30+M30</f>
        <v>4520</v>
      </c>
      <c r="O30" s="29" t="s">
        <v>118</v>
      </c>
      <c r="P30" s="33">
        <f>+M30*0.1</f>
        <v>116.56</v>
      </c>
      <c r="Q30" s="33">
        <f t="shared" si="2"/>
        <v>125.88480000000001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3354.2</v>
      </c>
      <c r="I31" s="10">
        <v>150</v>
      </c>
      <c r="J31" s="10">
        <v>175</v>
      </c>
      <c r="K31" s="21"/>
      <c r="L31" s="12"/>
      <c r="M31" s="13">
        <f>C31-H31-I31+L31-K31-J31</f>
        <v>1320.8000000000002</v>
      </c>
      <c r="N31" s="14">
        <f t="shared" si="0"/>
        <v>4675</v>
      </c>
      <c r="O31" s="29">
        <v>0.03</v>
      </c>
      <c r="P31" s="33">
        <f t="shared" si="1"/>
        <v>132.08000000000001</v>
      </c>
      <c r="Q31" s="33">
        <f t="shared" si="2"/>
        <v>142.64640000000003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0</v>
      </c>
      <c r="J32" s="10">
        <v>0</v>
      </c>
      <c r="K32" s="11"/>
      <c r="L32" s="12"/>
      <c r="M32" s="13">
        <f t="shared" si="6"/>
        <v>1645.6</v>
      </c>
      <c r="N32" s="14">
        <f>H32+M32</f>
        <v>5000</v>
      </c>
      <c r="O32" s="34" t="s">
        <v>47</v>
      </c>
      <c r="P32" s="33">
        <f t="shared" si="1"/>
        <v>164.56</v>
      </c>
      <c r="Q32" s="33">
        <f t="shared" si="2"/>
        <v>177.72480000000002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3354.4</v>
      </c>
      <c r="I33" s="10">
        <v>225</v>
      </c>
      <c r="J33" s="10">
        <v>140</v>
      </c>
      <c r="K33" s="21"/>
      <c r="L33" s="12"/>
      <c r="M33" s="22">
        <f>C33-H33-I33+L33-K33-J33</f>
        <v>280.59999999999991</v>
      </c>
      <c r="N33" s="14">
        <f t="shared" si="0"/>
        <v>3635</v>
      </c>
      <c r="O33" s="5">
        <v>0.03</v>
      </c>
      <c r="P33" s="33">
        <f t="shared" si="1"/>
        <v>28.059999999999992</v>
      </c>
      <c r="Q33" s="33">
        <f t="shared" si="2"/>
        <v>30.304799999999993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3354.2</v>
      </c>
      <c r="I34" s="10">
        <v>0</v>
      </c>
      <c r="J34" s="10">
        <v>0</v>
      </c>
      <c r="K34" s="11"/>
      <c r="L34" s="19"/>
      <c r="M34" s="13">
        <f t="shared" si="6"/>
        <v>1645.8000000000002</v>
      </c>
      <c r="N34" s="14">
        <f t="shared" si="0"/>
        <v>5000</v>
      </c>
      <c r="O34" s="5" t="s">
        <v>48</v>
      </c>
      <c r="P34" s="33">
        <f t="shared" si="1"/>
        <v>164.58000000000004</v>
      </c>
      <c r="Q34" s="33">
        <f t="shared" si="2"/>
        <v>177.74640000000005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2370.8000000000002</v>
      </c>
      <c r="I35" s="10">
        <v>300</v>
      </c>
      <c r="J35" s="10">
        <v>105</v>
      </c>
      <c r="K35" s="16">
        <v>913.35</v>
      </c>
      <c r="L35" s="19"/>
      <c r="M35" s="13">
        <f t="shared" si="6"/>
        <v>310.8499999999998</v>
      </c>
      <c r="N35" s="14">
        <f t="shared" si="0"/>
        <v>2681.65</v>
      </c>
      <c r="O35" s="5">
        <v>0.03</v>
      </c>
      <c r="P35" s="33">
        <f t="shared" si="1"/>
        <v>31.08499999999998</v>
      </c>
      <c r="Q35" s="33">
        <f t="shared" si="2"/>
        <v>33.571799999999982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2281.6</v>
      </c>
      <c r="I36" s="10">
        <v>0</v>
      </c>
      <c r="J36" s="10">
        <v>70</v>
      </c>
      <c r="K36" s="16">
        <v>1636.48</v>
      </c>
      <c r="L36" s="12"/>
      <c r="M36" s="13">
        <f t="shared" si="6"/>
        <v>1011.9200000000001</v>
      </c>
      <c r="N36" s="14">
        <f t="shared" si="0"/>
        <v>3293.52</v>
      </c>
      <c r="O36" s="5" t="s">
        <v>47</v>
      </c>
      <c r="P36" s="33">
        <f t="shared" si="1"/>
        <v>101.19200000000001</v>
      </c>
      <c r="Q36" s="33">
        <f t="shared" si="2"/>
        <v>109.28736000000002</v>
      </c>
    </row>
    <row r="37" spans="1:17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3354.2</v>
      </c>
      <c r="I37" s="10">
        <v>75</v>
      </c>
      <c r="J37" s="10">
        <v>0</v>
      </c>
      <c r="K37" s="11"/>
      <c r="L37" s="19"/>
      <c r="M37" s="13">
        <f t="shared" si="6"/>
        <v>570.80000000000018</v>
      </c>
      <c r="N37" s="14">
        <f t="shared" si="0"/>
        <v>3925</v>
      </c>
      <c r="O37" s="5" t="s">
        <v>47</v>
      </c>
      <c r="P37" s="33">
        <f t="shared" si="1"/>
        <v>57.08000000000002</v>
      </c>
      <c r="Q37" s="33">
        <f t="shared" si="2"/>
        <v>61.646400000000028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3120.4</v>
      </c>
      <c r="I38" s="10">
        <v>375</v>
      </c>
      <c r="J38" s="10">
        <v>175</v>
      </c>
      <c r="K38" s="21">
        <v>293.92</v>
      </c>
      <c r="L38" s="19"/>
      <c r="M38" s="13">
        <f t="shared" si="6"/>
        <v>3035.68</v>
      </c>
      <c r="N38" s="14">
        <f>H38+M38</f>
        <v>6156.08</v>
      </c>
      <c r="O38" s="5" t="s">
        <v>118</v>
      </c>
      <c r="P38" s="33">
        <f t="shared" si="1"/>
        <v>303.56799999999998</v>
      </c>
      <c r="Q38" s="33">
        <f t="shared" si="2"/>
        <v>327.85343999999998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3175</v>
      </c>
      <c r="I39" s="10">
        <v>150</v>
      </c>
      <c r="J39" s="10">
        <v>175</v>
      </c>
      <c r="K39" s="21"/>
      <c r="L39" s="19"/>
      <c r="M39" s="22">
        <f>C39-H39-I39+L39-K39-J39</f>
        <v>0</v>
      </c>
      <c r="N39" s="14">
        <f t="shared" si="0"/>
        <v>3175</v>
      </c>
      <c r="O39" s="5">
        <v>0.03</v>
      </c>
      <c r="P39" s="33">
        <f t="shared" si="1"/>
        <v>0</v>
      </c>
      <c r="Q39" s="33">
        <f t="shared" si="2"/>
        <v>0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3354.2</v>
      </c>
      <c r="I40" s="10">
        <v>0</v>
      </c>
      <c r="J40" s="10">
        <v>0</v>
      </c>
      <c r="K40" s="21"/>
      <c r="L40" s="19"/>
      <c r="M40" s="22">
        <f>C40-H40-I40+L40-K40-J40</f>
        <v>20.800000000000182</v>
      </c>
      <c r="N40" s="14">
        <f t="shared" si="0"/>
        <v>3375</v>
      </c>
      <c r="O40" s="5">
        <v>0.03</v>
      </c>
      <c r="P40" s="33">
        <f t="shared" si="1"/>
        <v>2.0800000000000183</v>
      </c>
      <c r="Q40" s="33">
        <f t="shared" si="2"/>
        <v>2.2464000000000199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3354.4</v>
      </c>
      <c r="I41" s="10">
        <v>300</v>
      </c>
      <c r="J41" s="10">
        <v>140</v>
      </c>
      <c r="K41" s="11"/>
      <c r="L41" s="19"/>
      <c r="M41" s="13">
        <f t="shared" si="6"/>
        <v>1205.5999999999999</v>
      </c>
      <c r="N41" s="14">
        <f t="shared" si="0"/>
        <v>4560</v>
      </c>
      <c r="O41" s="5">
        <v>0.03</v>
      </c>
      <c r="P41" s="33">
        <f t="shared" si="1"/>
        <v>120.56</v>
      </c>
      <c r="Q41" s="33">
        <f t="shared" si="2"/>
        <v>130.20480000000001</v>
      </c>
    </row>
    <row r="42" spans="1:17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3354.2</v>
      </c>
      <c r="I42" s="10">
        <v>0</v>
      </c>
      <c r="J42" s="10">
        <v>35</v>
      </c>
      <c r="K42" s="21"/>
      <c r="L42" s="19"/>
      <c r="M42" s="22">
        <f>C42-H42-I42+L42-K42-J42</f>
        <v>110.80000000000018</v>
      </c>
      <c r="N42" s="14">
        <f t="shared" si="0"/>
        <v>3465</v>
      </c>
      <c r="O42" s="5" t="s">
        <v>118</v>
      </c>
      <c r="P42" s="33">
        <f t="shared" si="1"/>
        <v>11.08000000000002</v>
      </c>
      <c r="Q42" s="33">
        <f t="shared" si="2"/>
        <v>11.966400000000021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3354.2</v>
      </c>
      <c r="I43" s="10">
        <v>0</v>
      </c>
      <c r="J43" s="10">
        <v>0</v>
      </c>
      <c r="K43" s="11"/>
      <c r="L43" s="19"/>
      <c r="M43" s="13">
        <f t="shared" si="6"/>
        <v>1645.8000000000002</v>
      </c>
      <c r="N43" s="14">
        <f t="shared" si="0"/>
        <v>5000</v>
      </c>
      <c r="O43" s="5" t="s">
        <v>119</v>
      </c>
      <c r="P43" s="33">
        <f t="shared" si="1"/>
        <v>164.58000000000004</v>
      </c>
      <c r="Q43" s="33">
        <f t="shared" si="2"/>
        <v>177.74640000000005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3354.2</v>
      </c>
      <c r="I44" s="10">
        <v>0</v>
      </c>
      <c r="J44" s="10">
        <v>0</v>
      </c>
      <c r="K44" s="11"/>
      <c r="L44" s="19"/>
      <c r="M44" s="13">
        <f t="shared" si="6"/>
        <v>5395.8</v>
      </c>
      <c r="N44" s="14">
        <f t="shared" si="0"/>
        <v>8750</v>
      </c>
      <c r="O44" s="5">
        <v>0.03</v>
      </c>
      <c r="P44" s="33">
        <f t="shared" si="1"/>
        <v>539.58000000000004</v>
      </c>
      <c r="Q44" s="33">
        <f t="shared" si="2"/>
        <v>582.74640000000011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3354.4</v>
      </c>
      <c r="I45" s="10">
        <v>0</v>
      </c>
      <c r="J45" s="10">
        <v>140</v>
      </c>
      <c r="K45" s="21"/>
      <c r="L45" s="19"/>
      <c r="M45" s="13">
        <f t="shared" si="6"/>
        <v>1505.6</v>
      </c>
      <c r="N45" s="14">
        <f t="shared" si="0"/>
        <v>4860</v>
      </c>
      <c r="O45" s="5">
        <v>0.03</v>
      </c>
      <c r="P45" s="33">
        <f t="shared" si="1"/>
        <v>150.56</v>
      </c>
      <c r="Q45" s="33">
        <f t="shared" si="2"/>
        <v>162.60480000000001</v>
      </c>
    </row>
    <row r="46" spans="1:17" s="55" customFormat="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3354.2</v>
      </c>
      <c r="I46" s="10">
        <v>0</v>
      </c>
      <c r="J46" s="10">
        <v>0</v>
      </c>
      <c r="K46" s="11"/>
      <c r="L46" s="19"/>
      <c r="M46" s="13">
        <f t="shared" si="6"/>
        <v>645.80000000000018</v>
      </c>
      <c r="N46" s="14">
        <f t="shared" si="0"/>
        <v>4000</v>
      </c>
      <c r="O46" s="5" t="s">
        <v>48</v>
      </c>
      <c r="P46" s="33">
        <f t="shared" si="1"/>
        <v>64.580000000000027</v>
      </c>
      <c r="Q46" s="33">
        <f t="shared" si="2"/>
        <v>69.746400000000037</v>
      </c>
    </row>
    <row r="47" spans="1:17" s="55" customFormat="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>
        <v>0</v>
      </c>
      <c r="J47" s="10">
        <v>0</v>
      </c>
      <c r="K47" s="21"/>
      <c r="L47" s="19"/>
      <c r="M47" s="13">
        <f t="shared" si="6"/>
        <v>645.59999999999991</v>
      </c>
      <c r="N47" s="14">
        <f t="shared" si="0"/>
        <v>4000</v>
      </c>
      <c r="O47" s="5" t="s">
        <v>48</v>
      </c>
      <c r="P47" s="33">
        <f t="shared" si="1"/>
        <v>64.559999999999988</v>
      </c>
      <c r="Q47" s="33">
        <f t="shared" si="2"/>
        <v>69.724799999999988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>
        <v>375</v>
      </c>
      <c r="J48" s="10">
        <v>0</v>
      </c>
      <c r="K48" s="11"/>
      <c r="L48" s="19"/>
      <c r="M48" s="13">
        <f t="shared" si="6"/>
        <v>270.59999999999991</v>
      </c>
      <c r="N48" s="14">
        <f t="shared" si="0"/>
        <v>3625</v>
      </c>
      <c r="O48" s="5" t="s">
        <v>118</v>
      </c>
      <c r="P48" s="33">
        <f t="shared" si="1"/>
        <v>27.059999999999992</v>
      </c>
      <c r="Q48" s="33">
        <f t="shared" si="2"/>
        <v>29.224799999999991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3120.4</v>
      </c>
      <c r="I49" s="10">
        <v>225</v>
      </c>
      <c r="J49" s="10">
        <v>70</v>
      </c>
      <c r="K49" s="21">
        <v>293.92</v>
      </c>
      <c r="L49" s="19"/>
      <c r="M49" s="13">
        <f t="shared" si="6"/>
        <v>1290.6799999999998</v>
      </c>
      <c r="N49" s="14">
        <f t="shared" si="0"/>
        <v>4411.08</v>
      </c>
      <c r="O49" s="5" t="s">
        <v>118</v>
      </c>
      <c r="P49" s="33">
        <f t="shared" si="1"/>
        <v>129.06799999999998</v>
      </c>
      <c r="Q49" s="33">
        <f t="shared" si="2"/>
        <v>139.39344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3354.2</v>
      </c>
      <c r="I50" s="10">
        <v>0</v>
      </c>
      <c r="J50" s="10">
        <v>0</v>
      </c>
      <c r="K50" s="11"/>
      <c r="L50" s="19"/>
      <c r="M50" s="13">
        <f t="shared" si="6"/>
        <v>145.80000000000018</v>
      </c>
      <c r="N50" s="14">
        <f t="shared" si="0"/>
        <v>3500</v>
      </c>
      <c r="O50" s="5">
        <v>0.03</v>
      </c>
      <c r="P50" s="33">
        <f t="shared" si="1"/>
        <v>14.58000000000002</v>
      </c>
      <c r="Q50" s="33">
        <f t="shared" si="2"/>
        <v>15.746400000000023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3354.2</v>
      </c>
      <c r="I51" s="10">
        <v>0</v>
      </c>
      <c r="J51" s="10">
        <v>0</v>
      </c>
      <c r="K51" s="11"/>
      <c r="L51" s="19"/>
      <c r="M51" s="13">
        <f t="shared" si="6"/>
        <v>145.80000000000018</v>
      </c>
      <c r="N51" s="14">
        <f t="shared" si="0"/>
        <v>3500</v>
      </c>
      <c r="O51" s="5">
        <v>0.03</v>
      </c>
      <c r="P51" s="33">
        <f t="shared" si="1"/>
        <v>14.58000000000002</v>
      </c>
      <c r="Q51" s="33">
        <f t="shared" si="2"/>
        <v>15.746400000000023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75</v>
      </c>
      <c r="J52" s="10">
        <v>70</v>
      </c>
      <c r="K52" s="11"/>
      <c r="L52" s="19"/>
      <c r="M52" s="13">
        <f t="shared" si="6"/>
        <v>750.59999999999991</v>
      </c>
      <c r="N52" s="14">
        <f t="shared" si="0"/>
        <v>4105</v>
      </c>
      <c r="O52" s="5">
        <v>0.03</v>
      </c>
      <c r="P52" s="33">
        <f t="shared" si="1"/>
        <v>75.059999999999988</v>
      </c>
      <c r="Q52" s="33">
        <f t="shared" si="2"/>
        <v>81.064799999999991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3354.2</v>
      </c>
      <c r="I53" s="10">
        <v>0</v>
      </c>
      <c r="J53" s="10">
        <v>210</v>
      </c>
      <c r="K53" s="11"/>
      <c r="L53" s="12"/>
      <c r="M53" s="13">
        <f t="shared" si="6"/>
        <v>435.80000000000018</v>
      </c>
      <c r="N53" s="14">
        <f t="shared" si="0"/>
        <v>3790</v>
      </c>
      <c r="O53" s="5">
        <v>0.03</v>
      </c>
      <c r="P53" s="33">
        <f t="shared" si="1"/>
        <v>43.58000000000002</v>
      </c>
      <c r="Q53" s="33">
        <f t="shared" si="2"/>
        <v>47.066400000000023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3354.4</v>
      </c>
      <c r="I54" s="10">
        <v>375</v>
      </c>
      <c r="J54" s="10">
        <v>175</v>
      </c>
      <c r="K54" s="11"/>
      <c r="L54" s="12"/>
      <c r="M54" s="22">
        <f t="shared" ref="M54:M60" si="7">C54-H54-I54+L54-K54-J54+0.02</f>
        <v>95.619999999999905</v>
      </c>
      <c r="N54" s="14">
        <f t="shared" si="0"/>
        <v>3450.02</v>
      </c>
      <c r="O54" s="5">
        <v>0.03</v>
      </c>
      <c r="P54" s="33">
        <f t="shared" si="1"/>
        <v>9.5619999999999905</v>
      </c>
      <c r="Q54" s="33">
        <f t="shared" si="2"/>
        <v>10.326959999999991</v>
      </c>
    </row>
    <row r="55" spans="1:18" x14ac:dyDescent="0.25">
      <c r="A55" s="5">
        <v>295</v>
      </c>
      <c r="B55" s="6" t="s">
        <v>104</v>
      </c>
      <c r="C55" s="7">
        <v>5500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375</v>
      </c>
      <c r="J55" s="10">
        <v>210</v>
      </c>
      <c r="K55" s="11"/>
      <c r="L55" s="12"/>
      <c r="M55" s="22">
        <f t="shared" si="7"/>
        <v>1560.62</v>
      </c>
      <c r="N55" s="14">
        <f t="shared" si="0"/>
        <v>4915.0200000000004</v>
      </c>
      <c r="O55" s="5" t="s">
        <v>118</v>
      </c>
      <c r="P55" s="33">
        <f t="shared" si="1"/>
        <v>156.06200000000001</v>
      </c>
      <c r="Q55" s="33">
        <f t="shared" si="2"/>
        <v>168.54696000000001</v>
      </c>
    </row>
    <row r="56" spans="1:18" x14ac:dyDescent="0.25">
      <c r="A56" s="42">
        <v>296</v>
      </c>
      <c r="B56" s="43" t="s">
        <v>107</v>
      </c>
      <c r="C56" s="44">
        <v>5000</v>
      </c>
      <c r="D56" s="44">
        <v>419.88</v>
      </c>
      <c r="E56" s="45">
        <f t="shared" si="3"/>
        <v>2519.2799999999997</v>
      </c>
      <c r="F56" s="45">
        <f t="shared" si="4"/>
        <v>419.88</v>
      </c>
      <c r="G56" s="46">
        <f t="shared" si="5"/>
        <v>2939.16</v>
      </c>
      <c r="H56" s="47">
        <v>1425.8</v>
      </c>
      <c r="I56" s="48">
        <v>0</v>
      </c>
      <c r="J56" s="48">
        <v>0</v>
      </c>
      <c r="K56" s="99">
        <v>3574.2</v>
      </c>
      <c r="L56" s="50"/>
      <c r="M56" s="51">
        <f>C56-H56-I56+L56-K56-J56</f>
        <v>0</v>
      </c>
      <c r="N56" s="52">
        <f>H56+M56</f>
        <v>1425.8</v>
      </c>
      <c r="O56" s="42" t="s">
        <v>50</v>
      </c>
      <c r="P56" s="54">
        <f t="shared" si="1"/>
        <v>0</v>
      </c>
      <c r="Q56" s="54">
        <f t="shared" si="2"/>
        <v>0</v>
      </c>
    </row>
    <row r="57" spans="1:18" x14ac:dyDescent="0.25">
      <c r="A57" s="5">
        <v>297</v>
      </c>
      <c r="B57" s="6" t="s">
        <v>110</v>
      </c>
      <c r="C57" s="7">
        <v>4000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3354.2</v>
      </c>
      <c r="I57" s="10">
        <v>0</v>
      </c>
      <c r="J57" s="10">
        <v>0</v>
      </c>
      <c r="K57" s="11"/>
      <c r="L57" s="12"/>
      <c r="M57" s="22">
        <f t="shared" si="7"/>
        <v>645.82000000000016</v>
      </c>
      <c r="N57" s="14">
        <f t="shared" si="0"/>
        <v>4000.02</v>
      </c>
      <c r="O57" s="5" t="s">
        <v>50</v>
      </c>
      <c r="P57" s="33">
        <f t="shared" si="1"/>
        <v>64.582000000000022</v>
      </c>
      <c r="Q57" s="33">
        <f t="shared" si="2"/>
        <v>69.748560000000026</v>
      </c>
    </row>
    <row r="58" spans="1:18" x14ac:dyDescent="0.25">
      <c r="A58" s="5">
        <v>298</v>
      </c>
      <c r="B58" s="6" t="s">
        <v>115</v>
      </c>
      <c r="C58" s="7">
        <v>5000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1822</v>
      </c>
      <c r="I58" s="10">
        <v>75</v>
      </c>
      <c r="J58" s="10">
        <v>70</v>
      </c>
      <c r="K58" s="16">
        <v>1462.24</v>
      </c>
      <c r="L58" s="12"/>
      <c r="M58" s="22">
        <f t="shared" si="7"/>
        <v>1570.78</v>
      </c>
      <c r="N58" s="14">
        <f t="shared" si="0"/>
        <v>3392.7799999999997</v>
      </c>
      <c r="O58" s="5">
        <v>0.03</v>
      </c>
      <c r="P58" s="33">
        <f t="shared" si="1"/>
        <v>157.078</v>
      </c>
      <c r="Q58" s="33">
        <f t="shared" si="2"/>
        <v>169.64424000000002</v>
      </c>
    </row>
    <row r="59" spans="1:18" x14ac:dyDescent="0.25">
      <c r="A59" s="5">
        <v>299</v>
      </c>
      <c r="B59" s="6" t="s">
        <v>116</v>
      </c>
      <c r="C59" s="7">
        <v>4000</v>
      </c>
      <c r="D59" s="7">
        <v>419.88</v>
      </c>
      <c r="E59" s="8">
        <f>D59*6</f>
        <v>2519.2799999999997</v>
      </c>
      <c r="F59" s="8">
        <f t="shared" si="4"/>
        <v>419.88</v>
      </c>
      <c r="G59" s="9">
        <f>E59+F59</f>
        <v>2939.16</v>
      </c>
      <c r="H59" s="37">
        <v>3354.2</v>
      </c>
      <c r="I59" s="10">
        <v>375</v>
      </c>
      <c r="J59" s="10">
        <v>175</v>
      </c>
      <c r="K59" s="11"/>
      <c r="L59" s="12"/>
      <c r="M59" s="22">
        <f>C59-H59-I59+L59-K59-J59+0.02</f>
        <v>95.820000000000178</v>
      </c>
      <c r="N59" s="14">
        <f>H59+M59</f>
        <v>3450.02</v>
      </c>
      <c r="O59" s="5">
        <v>0.03</v>
      </c>
      <c r="P59" s="33">
        <f>+M59*0.1</f>
        <v>9.5820000000000185</v>
      </c>
      <c r="Q59" s="33">
        <f>+P59*1.08</f>
        <v>10.34856000000002</v>
      </c>
    </row>
    <row r="60" spans="1:18" x14ac:dyDescent="0.25">
      <c r="A60" s="5">
        <v>300</v>
      </c>
      <c r="B60" s="6" t="s">
        <v>121</v>
      </c>
      <c r="C60" s="7">
        <v>6250</v>
      </c>
      <c r="D60" s="7">
        <v>419.88</v>
      </c>
      <c r="E60" s="8">
        <f t="shared" si="3"/>
        <v>2519.2799999999997</v>
      </c>
      <c r="F60" s="8">
        <f t="shared" si="4"/>
        <v>419.88</v>
      </c>
      <c r="G60" s="9">
        <f t="shared" si="5"/>
        <v>2939.16</v>
      </c>
      <c r="H60" s="37">
        <v>3354.4</v>
      </c>
      <c r="I60" s="10">
        <v>0</v>
      </c>
      <c r="J60" s="10">
        <v>0</v>
      </c>
      <c r="K60" s="11"/>
      <c r="L60" s="12"/>
      <c r="M60" s="22">
        <f t="shared" si="7"/>
        <v>2895.62</v>
      </c>
      <c r="N60" s="14">
        <f t="shared" si="0"/>
        <v>6250.02</v>
      </c>
      <c r="O60" s="5">
        <v>0.03</v>
      </c>
      <c r="P60" s="33">
        <f t="shared" si="1"/>
        <v>289.56200000000001</v>
      </c>
      <c r="Q60" s="33">
        <f t="shared" si="2"/>
        <v>312.72696000000002</v>
      </c>
    </row>
    <row r="61" spans="1:18" ht="16.149999999999999" customHeight="1" thickBot="1" x14ac:dyDescent="0.3"/>
    <row r="62" spans="1:18" ht="18" thickBot="1" x14ac:dyDescent="0.35">
      <c r="A62" s="23"/>
      <c r="B62" s="24"/>
      <c r="C62" s="25">
        <f>SUM(C4:C61)</f>
        <v>280875</v>
      </c>
      <c r="D62" s="25">
        <f t="shared" ref="D62:N62" si="8">SUM(D4:D61)</f>
        <v>23933.160000000003</v>
      </c>
      <c r="E62" s="25">
        <f t="shared" si="8"/>
        <v>141079.67999999996</v>
      </c>
      <c r="F62" s="25">
        <f t="shared" si="8"/>
        <v>23513.280000000002</v>
      </c>
      <c r="G62" s="25">
        <f t="shared" si="8"/>
        <v>164592.96000000014</v>
      </c>
      <c r="H62" s="25">
        <f>SUM(H4:H61)</f>
        <v>179056.59999999995</v>
      </c>
      <c r="I62" s="26">
        <f t="shared" si="8"/>
        <v>8850</v>
      </c>
      <c r="J62" s="26">
        <f t="shared" si="8"/>
        <v>4725</v>
      </c>
      <c r="K62" s="26">
        <f t="shared" si="8"/>
        <v>11518.090000000002</v>
      </c>
      <c r="L62" s="27">
        <f>SUM(L4:L61)</f>
        <v>5174.71</v>
      </c>
      <c r="M62" s="25">
        <f>SUM(M4:M61)</f>
        <v>81900.140000000043</v>
      </c>
      <c r="N62" s="25">
        <f t="shared" si="8"/>
        <v>260956.7399999999</v>
      </c>
      <c r="P62" s="25">
        <f>SUM(P4:P61)</f>
        <v>8190.0140000000029</v>
      </c>
      <c r="Q62" s="25">
        <f>SUM(Q4:Q61)</f>
        <v>8845.2151199999989</v>
      </c>
      <c r="R62" s="55">
        <f>+N62+Q62</f>
        <v>269801.95511999988</v>
      </c>
    </row>
    <row r="63" spans="1:18" x14ac:dyDescent="0.25">
      <c r="H63" s="15"/>
      <c r="M63" s="15"/>
    </row>
    <row r="64" spans="1:18" x14ac:dyDescent="0.25">
      <c r="H64" s="15"/>
      <c r="I64">
        <f>+I62/75</f>
        <v>118</v>
      </c>
      <c r="J64" s="28">
        <f>SUM(J62)/35</f>
        <v>135</v>
      </c>
      <c r="R64" s="55">
        <v>12886.8</v>
      </c>
    </row>
    <row r="65" spans="6:11" x14ac:dyDescent="0.25">
      <c r="F65" s="15"/>
      <c r="H65" s="15">
        <f>H62+M62</f>
        <v>260956.74</v>
      </c>
      <c r="K65" s="15"/>
    </row>
    <row r="66" spans="6:11" x14ac:dyDescent="0.25">
      <c r="H66" s="15">
        <f>'[1]Nom 9'!$H$53</f>
        <v>131178.05999999994</v>
      </c>
      <c r="I66" s="40"/>
      <c r="J66" s="15"/>
    </row>
    <row r="67" spans="6:11" x14ac:dyDescent="0.25">
      <c r="H67" s="15">
        <f>[2]Rino!$H$8</f>
        <v>75398.810000000012</v>
      </c>
    </row>
    <row r="68" spans="6:11" x14ac:dyDescent="0.25">
      <c r="H68" s="15">
        <f>H66+H67</f>
        <v>206576.86999999994</v>
      </c>
    </row>
    <row r="73" spans="6:11" x14ac:dyDescent="0.25">
      <c r="J73" s="15" t="e">
        <f>(H62-#REF!-#REF!)+3354.4+2879</f>
        <v>#REF!</v>
      </c>
    </row>
  </sheetData>
  <autoFilter ref="A3:Q60" xr:uid="{00000000-0009-0000-0000-000019000000}"/>
  <mergeCells count="2">
    <mergeCell ref="A1:N1"/>
    <mergeCell ref="A2:N2"/>
  </mergeCells>
  <pageMargins left="0.25" right="0.25" top="0.75" bottom="0.75" header="0.3" footer="0.3"/>
  <pageSetup scale="45" fitToWidth="0" orientation="landscape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10EF2-0DE7-48C7-BF8D-8B3411B03786}">
  <sheetPr codeName="Hoja28">
    <pageSetUpPr fitToPage="1"/>
  </sheetPr>
  <dimension ref="A1:R62"/>
  <sheetViews>
    <sheetView showGridLines="0" topLeftCell="A33" zoomScaleNormal="100" workbookViewId="0">
      <selection activeCell="B30" sqref="B30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122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60" si="0">H4+M4</f>
        <v>0</v>
      </c>
      <c r="O4" s="81" t="s">
        <v>48</v>
      </c>
      <c r="P4" s="82">
        <f t="shared" ref="P4:P60" si="1">+M4*0.1</f>
        <v>0</v>
      </c>
      <c r="Q4" s="82">
        <f t="shared" ref="Q4:Q60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0" si="3">D5*6</f>
        <v>2519.2799999999997</v>
      </c>
      <c r="F5" s="8">
        <f t="shared" ref="F5:F60" si="4">$D$4</f>
        <v>419.88</v>
      </c>
      <c r="G5" s="9">
        <f t="shared" ref="G5:G60" si="5">E5+F5</f>
        <v>2939.16</v>
      </c>
      <c r="H5" s="37">
        <v>3354.4</v>
      </c>
      <c r="I5" s="10">
        <v>225</v>
      </c>
      <c r="J5" s="10">
        <v>0</v>
      </c>
      <c r="K5" s="11"/>
      <c r="L5" s="19"/>
      <c r="M5" s="13">
        <f>C5-H5-I5+L5-K5-J5</f>
        <v>420.59999999999991</v>
      </c>
      <c r="N5" s="14">
        <f t="shared" si="0"/>
        <v>3775</v>
      </c>
      <c r="O5" s="29" t="s">
        <v>47</v>
      </c>
      <c r="P5" s="33">
        <f t="shared" si="1"/>
        <v>42.059999999999995</v>
      </c>
      <c r="Q5" s="33">
        <f t="shared" si="2"/>
        <v>45.424799999999998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2903.2</v>
      </c>
      <c r="I6" s="18">
        <v>0</v>
      </c>
      <c r="J6" s="18">
        <v>105</v>
      </c>
      <c r="K6" s="21"/>
      <c r="L6" s="19"/>
      <c r="M6" s="13">
        <f t="shared" ref="M6:M53" si="6">C6-H6-I6+L6-K6-J6</f>
        <v>11991.8</v>
      </c>
      <c r="N6" s="14">
        <f>H6+M6</f>
        <v>14895</v>
      </c>
      <c r="O6" s="30" t="s">
        <v>118</v>
      </c>
      <c r="P6" s="33">
        <f t="shared" si="1"/>
        <v>1199.18</v>
      </c>
      <c r="Q6" s="33">
        <f t="shared" si="2"/>
        <v>1295.1144000000002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3354.4</v>
      </c>
      <c r="I7" s="10">
        <v>150</v>
      </c>
      <c r="J7" s="10">
        <v>70</v>
      </c>
      <c r="K7" s="21"/>
      <c r="L7" s="19"/>
      <c r="M7" s="13">
        <f t="shared" si="6"/>
        <v>1425.6</v>
      </c>
      <c r="N7" s="14">
        <f t="shared" si="0"/>
        <v>4780</v>
      </c>
      <c r="O7" s="36" t="s">
        <v>118</v>
      </c>
      <c r="P7" s="33">
        <f t="shared" si="1"/>
        <v>142.56</v>
      </c>
      <c r="Q7" s="33">
        <f t="shared" si="2"/>
        <v>153.96480000000003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3354.2</v>
      </c>
      <c r="I8" s="10">
        <v>300</v>
      </c>
      <c r="J8" s="10">
        <v>140</v>
      </c>
      <c r="K8" s="11"/>
      <c r="L8" s="12"/>
      <c r="M8" s="13">
        <f t="shared" si="6"/>
        <v>705.80000000000018</v>
      </c>
      <c r="N8" s="14">
        <f t="shared" si="0"/>
        <v>4060</v>
      </c>
      <c r="O8" s="30" t="s">
        <v>118</v>
      </c>
      <c r="P8" s="33">
        <f t="shared" si="1"/>
        <v>70.580000000000027</v>
      </c>
      <c r="Q8" s="33">
        <f t="shared" si="2"/>
        <v>76.226400000000041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3354.4</v>
      </c>
      <c r="I9" s="10">
        <v>150</v>
      </c>
      <c r="J9" s="10">
        <v>175</v>
      </c>
      <c r="K9" s="21"/>
      <c r="L9" s="12"/>
      <c r="M9" s="22">
        <f>C9-H9-I9+L9-K9-J9</f>
        <v>320.59999999999991</v>
      </c>
      <c r="N9" s="14">
        <f t="shared" si="0"/>
        <v>3675</v>
      </c>
      <c r="O9" s="30" t="s">
        <v>47</v>
      </c>
      <c r="P9" s="33">
        <f t="shared" si="1"/>
        <v>32.059999999999995</v>
      </c>
      <c r="Q9" s="33">
        <f t="shared" si="2"/>
        <v>34.6248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3354.4</v>
      </c>
      <c r="I10" s="10">
        <v>0</v>
      </c>
      <c r="J10" s="10">
        <v>0</v>
      </c>
      <c r="K10" s="20"/>
      <c r="L10" s="19"/>
      <c r="M10" s="13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0</v>
      </c>
      <c r="J11" s="10">
        <v>0</v>
      </c>
      <c r="K11" s="11"/>
      <c r="L11" s="12"/>
      <c r="M11" s="13">
        <f>C11-H11-I11+L11-K11-J11</f>
        <v>3645.6</v>
      </c>
      <c r="N11" s="14">
        <f t="shared" si="0"/>
        <v>7000</v>
      </c>
      <c r="O11" s="30" t="s">
        <v>118</v>
      </c>
      <c r="P11" s="33">
        <f t="shared" si="1"/>
        <v>364.56</v>
      </c>
      <c r="Q11" s="33">
        <f t="shared" si="2"/>
        <v>393.72480000000002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3354.4</v>
      </c>
      <c r="I12" s="10">
        <v>150</v>
      </c>
      <c r="J12" s="10">
        <v>105</v>
      </c>
      <c r="K12" s="11"/>
      <c r="L12" s="19"/>
      <c r="M12" s="13">
        <f>C12-H12-I12+L12-K12-J12</f>
        <v>1390.6</v>
      </c>
      <c r="N12" s="14">
        <f t="shared" si="0"/>
        <v>4745</v>
      </c>
      <c r="O12" s="30">
        <v>0.03</v>
      </c>
      <c r="P12" s="33">
        <f t="shared" si="1"/>
        <v>139.06</v>
      </c>
      <c r="Q12" s="33">
        <f t="shared" si="2"/>
        <v>150.18480000000002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3170</v>
      </c>
      <c r="I13" s="10">
        <v>225</v>
      </c>
      <c r="J13" s="10">
        <v>105</v>
      </c>
      <c r="K13" s="21"/>
      <c r="L13" s="12"/>
      <c r="M13" s="13">
        <f>C13-H13-I13+L13-K13-J13</f>
        <v>0</v>
      </c>
      <c r="N13" s="14">
        <f t="shared" si="0"/>
        <v>3170</v>
      </c>
      <c r="O13" s="30">
        <v>0.03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3089</v>
      </c>
      <c r="I14" s="10">
        <v>150</v>
      </c>
      <c r="J14" s="10">
        <v>210</v>
      </c>
      <c r="K14" s="21">
        <v>419.88</v>
      </c>
      <c r="L14" s="19">
        <v>285.70999999999998</v>
      </c>
      <c r="M14" s="22">
        <f>C14-H14-I14+L14-K14-J14</f>
        <v>416.83000000000004</v>
      </c>
      <c r="N14" s="14">
        <f t="shared" si="0"/>
        <v>3505.83</v>
      </c>
      <c r="O14" s="36" t="s">
        <v>50</v>
      </c>
      <c r="P14" s="33">
        <f t="shared" si="1"/>
        <v>41.683000000000007</v>
      </c>
      <c r="Q14" s="33">
        <f t="shared" si="2"/>
        <v>45.017640000000007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3354.2</v>
      </c>
      <c r="I15" s="10">
        <v>0</v>
      </c>
      <c r="J15" s="10">
        <v>0</v>
      </c>
      <c r="K15" s="21"/>
      <c r="L15" s="19"/>
      <c r="M15" s="13">
        <f t="shared" si="6"/>
        <v>645.80000000000018</v>
      </c>
      <c r="N15" s="14">
        <f t="shared" si="0"/>
        <v>4000</v>
      </c>
      <c r="O15" s="30" t="s">
        <v>47</v>
      </c>
      <c r="P15" s="33">
        <f t="shared" si="1"/>
        <v>64.580000000000027</v>
      </c>
      <c r="Q15" s="33">
        <f t="shared" si="2"/>
        <v>69.746400000000037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3120.2</v>
      </c>
      <c r="I16" s="10">
        <v>150</v>
      </c>
      <c r="J16" s="10">
        <v>140</v>
      </c>
      <c r="K16" s="21">
        <v>293.92</v>
      </c>
      <c r="L16" s="19"/>
      <c r="M16" s="13">
        <f>C16-H16-I16+L16-K16-J16</f>
        <v>295.88000000000017</v>
      </c>
      <c r="N16" s="14">
        <f t="shared" si="0"/>
        <v>3416.08</v>
      </c>
      <c r="O16" s="29">
        <v>0.03</v>
      </c>
      <c r="P16" s="33">
        <f t="shared" si="1"/>
        <v>29.588000000000019</v>
      </c>
      <c r="Q16" s="33">
        <f t="shared" si="2"/>
        <v>31.955040000000022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3354.4</v>
      </c>
      <c r="I17" s="10">
        <v>0</v>
      </c>
      <c r="J17" s="10">
        <v>0</v>
      </c>
      <c r="K17" s="21"/>
      <c r="L17" s="19"/>
      <c r="M17" s="13">
        <f t="shared" si="6"/>
        <v>645.59999999999991</v>
      </c>
      <c r="N17" s="14">
        <f t="shared" si="0"/>
        <v>4000</v>
      </c>
      <c r="O17" s="29" t="s">
        <v>48</v>
      </c>
      <c r="P17" s="33">
        <f t="shared" si="1"/>
        <v>64.559999999999988</v>
      </c>
      <c r="Q17" s="33">
        <f t="shared" si="2"/>
        <v>69.724799999999988</v>
      </c>
    </row>
    <row r="18" spans="1:17" x14ac:dyDescent="0.25">
      <c r="A18" s="5">
        <v>162</v>
      </c>
      <c r="B18" s="6" t="s">
        <v>27</v>
      </c>
      <c r="C18" s="7">
        <v>4500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3354.4</v>
      </c>
      <c r="I18" s="10">
        <v>375</v>
      </c>
      <c r="J18" s="10">
        <v>140</v>
      </c>
      <c r="K18" s="21"/>
      <c r="L18" s="19"/>
      <c r="M18" s="13">
        <f t="shared" si="6"/>
        <v>630.59999999999991</v>
      </c>
      <c r="N18" s="14">
        <f t="shared" si="0"/>
        <v>3985</v>
      </c>
      <c r="O18" s="29">
        <v>0.03</v>
      </c>
      <c r="P18" s="33">
        <f t="shared" si="1"/>
        <v>63.059999999999995</v>
      </c>
      <c r="Q18" s="33">
        <f t="shared" si="2"/>
        <v>68.104799999999997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2373.4</v>
      </c>
      <c r="I19" s="10">
        <v>0</v>
      </c>
      <c r="J19" s="10">
        <v>0</v>
      </c>
      <c r="K19" s="16">
        <v>895.48</v>
      </c>
      <c r="L19" s="12"/>
      <c r="M19" s="13">
        <f t="shared" si="6"/>
        <v>6731.1200000000008</v>
      </c>
      <c r="N19" s="14">
        <f t="shared" si="0"/>
        <v>9104.52</v>
      </c>
      <c r="O19" s="29" t="s">
        <v>50</v>
      </c>
      <c r="P19" s="33">
        <f t="shared" si="1"/>
        <v>673.11200000000008</v>
      </c>
      <c r="Q19" s="33">
        <f t="shared" si="2"/>
        <v>726.96096000000011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3238.8</v>
      </c>
      <c r="I20" s="10">
        <v>150</v>
      </c>
      <c r="J20" s="10">
        <v>175</v>
      </c>
      <c r="K20" s="21">
        <v>502.86</v>
      </c>
      <c r="L20" s="19"/>
      <c r="M20" s="13">
        <f t="shared" si="6"/>
        <v>3933.34</v>
      </c>
      <c r="N20" s="14">
        <f t="shared" si="0"/>
        <v>7172.14</v>
      </c>
      <c r="O20" s="29">
        <v>0.03</v>
      </c>
      <c r="P20" s="33">
        <f t="shared" si="1"/>
        <v>393.33400000000006</v>
      </c>
      <c r="Q20" s="33">
        <f t="shared" si="2"/>
        <v>424.80072000000007</v>
      </c>
    </row>
    <row r="21" spans="1:17" s="55" customFormat="1" ht="13.5" customHeight="1" x14ac:dyDescent="0.25">
      <c r="A21" s="5">
        <v>204</v>
      </c>
      <c r="B21" s="6" t="s">
        <v>33</v>
      </c>
      <c r="C21" s="7">
        <v>5000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>
        <v>150</v>
      </c>
      <c r="J21" s="10">
        <v>140</v>
      </c>
      <c r="K21" s="11"/>
      <c r="L21" s="19"/>
      <c r="M21" s="13">
        <f t="shared" si="6"/>
        <v>1355.6</v>
      </c>
      <c r="N21" s="14">
        <f t="shared" si="0"/>
        <v>4710</v>
      </c>
      <c r="O21" s="29" t="s">
        <v>118</v>
      </c>
      <c r="P21" s="33">
        <f t="shared" si="1"/>
        <v>135.56</v>
      </c>
      <c r="Q21" s="33">
        <f t="shared" si="2"/>
        <v>146.40480000000002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0</v>
      </c>
      <c r="J22" s="10">
        <v>0</v>
      </c>
      <c r="K22" s="11"/>
      <c r="L22" s="12"/>
      <c r="M22" s="13">
        <f t="shared" si="6"/>
        <v>645.59999999999991</v>
      </c>
      <c r="N22" s="14">
        <f t="shared" si="0"/>
        <v>4000</v>
      </c>
      <c r="O22" s="29" t="s">
        <v>50</v>
      </c>
      <c r="P22" s="33">
        <f t="shared" si="1"/>
        <v>64.559999999999988</v>
      </c>
      <c r="Q22" s="33">
        <f t="shared" si="2"/>
        <v>69.724799999999988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3354.4</v>
      </c>
      <c r="I23" s="10">
        <v>150</v>
      </c>
      <c r="J23" s="10">
        <v>105</v>
      </c>
      <c r="K23" s="21"/>
      <c r="L23" s="19"/>
      <c r="M23" s="13">
        <f t="shared" si="6"/>
        <v>1390.6</v>
      </c>
      <c r="N23" s="14">
        <f t="shared" si="0"/>
        <v>4745</v>
      </c>
      <c r="O23" s="29" t="s">
        <v>118</v>
      </c>
      <c r="P23" s="33">
        <f t="shared" si="1"/>
        <v>139.06</v>
      </c>
      <c r="Q23" s="33">
        <f t="shared" si="2"/>
        <v>150.18480000000002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3354.2</v>
      </c>
      <c r="I24" s="10">
        <v>0</v>
      </c>
      <c r="J24" s="10">
        <v>0</v>
      </c>
      <c r="K24" s="12"/>
      <c r="L24" s="12"/>
      <c r="M24" s="13">
        <f t="shared" si="6"/>
        <v>145.80000000000018</v>
      </c>
      <c r="N24" s="14">
        <f t="shared" si="0"/>
        <v>3500</v>
      </c>
      <c r="O24" s="29" t="s">
        <v>49</v>
      </c>
      <c r="P24" s="33">
        <f t="shared" si="1"/>
        <v>14.58000000000002</v>
      </c>
      <c r="Q24" s="33">
        <f t="shared" si="2"/>
        <v>15.746400000000023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2510</v>
      </c>
      <c r="I25" s="10">
        <v>375</v>
      </c>
      <c r="J25" s="10">
        <v>175</v>
      </c>
      <c r="K25" s="16">
        <v>904.25</v>
      </c>
      <c r="L25" s="12"/>
      <c r="M25" s="22">
        <f>C25-H25-I25+L25-K25-J25</f>
        <v>35.75</v>
      </c>
      <c r="N25" s="14">
        <f t="shared" si="0"/>
        <v>2545.75</v>
      </c>
      <c r="O25" s="36">
        <v>0.03</v>
      </c>
      <c r="P25" s="33">
        <f t="shared" si="1"/>
        <v>3.5750000000000002</v>
      </c>
      <c r="Q25" s="33">
        <f t="shared" si="2"/>
        <v>3.8610000000000007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3354.2</v>
      </c>
      <c r="I26" s="10">
        <v>375</v>
      </c>
      <c r="J26" s="10">
        <v>175</v>
      </c>
      <c r="K26" s="21"/>
      <c r="L26" s="19"/>
      <c r="M26" s="13">
        <f t="shared" si="6"/>
        <v>1095.8000000000002</v>
      </c>
      <c r="N26" s="14">
        <f t="shared" si="0"/>
        <v>4450</v>
      </c>
      <c r="O26" s="29">
        <v>0.03</v>
      </c>
      <c r="P26" s="33">
        <f t="shared" si="1"/>
        <v>109.58000000000003</v>
      </c>
      <c r="Q26" s="33">
        <f t="shared" si="2"/>
        <v>118.34640000000003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3354.2</v>
      </c>
      <c r="I27" s="10">
        <v>375</v>
      </c>
      <c r="J27" s="10">
        <v>70</v>
      </c>
      <c r="K27" s="21"/>
      <c r="L27" s="19"/>
      <c r="M27" s="13">
        <f t="shared" si="6"/>
        <v>4200.8</v>
      </c>
      <c r="N27" s="14">
        <f t="shared" si="0"/>
        <v>7555</v>
      </c>
      <c r="O27" s="29" t="s">
        <v>118</v>
      </c>
      <c r="P27" s="33">
        <f t="shared" si="1"/>
        <v>420.08000000000004</v>
      </c>
      <c r="Q27" s="33">
        <f t="shared" si="2"/>
        <v>453.68640000000005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3354.4</v>
      </c>
      <c r="I28" s="10">
        <v>375</v>
      </c>
      <c r="J28" s="10">
        <v>175</v>
      </c>
      <c r="K28" s="21"/>
      <c r="L28" s="12"/>
      <c r="M28" s="13">
        <f t="shared" si="6"/>
        <v>2095.6</v>
      </c>
      <c r="N28" s="14">
        <f t="shared" si="0"/>
        <v>5450</v>
      </c>
      <c r="O28" s="29" t="s">
        <v>118</v>
      </c>
      <c r="P28" s="33">
        <f t="shared" si="1"/>
        <v>209.56</v>
      </c>
      <c r="Q28" s="33">
        <f t="shared" si="2"/>
        <v>226.32480000000001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3354.2</v>
      </c>
      <c r="I29" s="10">
        <v>300</v>
      </c>
      <c r="J29" s="10">
        <v>70</v>
      </c>
      <c r="K29" s="21"/>
      <c r="L29" s="19"/>
      <c r="M29" s="13">
        <f t="shared" si="6"/>
        <v>2525.8000000000002</v>
      </c>
      <c r="N29" s="14">
        <f t="shared" si="0"/>
        <v>5880</v>
      </c>
      <c r="O29" s="31" t="s">
        <v>118</v>
      </c>
      <c r="P29" s="33">
        <f t="shared" si="1"/>
        <v>252.58000000000004</v>
      </c>
      <c r="Q29" s="33">
        <f t="shared" si="2"/>
        <v>272.78640000000007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3354.4</v>
      </c>
      <c r="I30" s="10">
        <v>150</v>
      </c>
      <c r="J30" s="10">
        <v>105</v>
      </c>
      <c r="K30" s="11"/>
      <c r="L30" s="19"/>
      <c r="M30" s="13">
        <f>C30-H30-I30+L30-K30-J30</f>
        <v>1390.6</v>
      </c>
      <c r="N30" s="14">
        <f>H30+M30</f>
        <v>4745</v>
      </c>
      <c r="O30" s="29" t="s">
        <v>118</v>
      </c>
      <c r="P30" s="33">
        <f>+M30*0.1</f>
        <v>139.06</v>
      </c>
      <c r="Q30" s="33">
        <f t="shared" si="2"/>
        <v>150.18480000000002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3354.4</v>
      </c>
      <c r="I31" s="10">
        <v>150</v>
      </c>
      <c r="J31" s="10">
        <v>105</v>
      </c>
      <c r="K31" s="21"/>
      <c r="L31" s="12"/>
      <c r="M31" s="13">
        <f>C31-H31-I31+L31-K31-J31</f>
        <v>1390.6</v>
      </c>
      <c r="N31" s="14">
        <f t="shared" si="0"/>
        <v>4745</v>
      </c>
      <c r="O31" s="29">
        <v>0.03</v>
      </c>
      <c r="P31" s="33">
        <f t="shared" si="1"/>
        <v>139.06</v>
      </c>
      <c r="Q31" s="33">
        <f t="shared" si="2"/>
        <v>150.18480000000002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3354.2</v>
      </c>
      <c r="I32" s="10">
        <v>0</v>
      </c>
      <c r="J32" s="10">
        <v>0</v>
      </c>
      <c r="K32" s="11"/>
      <c r="L32" s="12"/>
      <c r="M32" s="13">
        <f t="shared" si="6"/>
        <v>1645.8000000000002</v>
      </c>
      <c r="N32" s="14">
        <f>H32+M32</f>
        <v>5000</v>
      </c>
      <c r="O32" s="34" t="s">
        <v>47</v>
      </c>
      <c r="P32" s="33">
        <f t="shared" si="1"/>
        <v>164.58000000000004</v>
      </c>
      <c r="Q32" s="33">
        <f t="shared" si="2"/>
        <v>177.74640000000005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3354.2</v>
      </c>
      <c r="I33" s="10">
        <v>300</v>
      </c>
      <c r="J33" s="10">
        <v>140</v>
      </c>
      <c r="K33" s="21"/>
      <c r="L33" s="12"/>
      <c r="M33" s="22">
        <f>C33-H33-I33+L33-K33-J33</f>
        <v>205.80000000000018</v>
      </c>
      <c r="N33" s="14">
        <f t="shared" si="0"/>
        <v>3560</v>
      </c>
      <c r="O33" s="5">
        <v>0.03</v>
      </c>
      <c r="P33" s="33">
        <f t="shared" si="1"/>
        <v>20.58000000000002</v>
      </c>
      <c r="Q33" s="33">
        <f t="shared" si="2"/>
        <v>22.226400000000023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3354.4</v>
      </c>
      <c r="I34" s="10">
        <v>0</v>
      </c>
      <c r="J34" s="10">
        <v>0</v>
      </c>
      <c r="K34" s="11"/>
      <c r="L34" s="19"/>
      <c r="M34" s="13">
        <f t="shared" si="6"/>
        <v>1645.6</v>
      </c>
      <c r="N34" s="14">
        <f t="shared" si="0"/>
        <v>5000</v>
      </c>
      <c r="O34" s="5" t="s">
        <v>48</v>
      </c>
      <c r="P34" s="33">
        <f t="shared" si="1"/>
        <v>164.56</v>
      </c>
      <c r="Q34" s="33">
        <f t="shared" si="2"/>
        <v>177.72480000000002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2368.6</v>
      </c>
      <c r="I35" s="10">
        <v>225</v>
      </c>
      <c r="J35" s="10">
        <v>140</v>
      </c>
      <c r="K35" s="16">
        <v>900.72</v>
      </c>
      <c r="L35" s="19"/>
      <c r="M35" s="13">
        <f t="shared" si="6"/>
        <v>365.68000000000006</v>
      </c>
      <c r="N35" s="14">
        <f t="shared" si="0"/>
        <v>2734.2799999999997</v>
      </c>
      <c r="O35" s="5">
        <v>0.03</v>
      </c>
      <c r="P35" s="33">
        <f t="shared" si="1"/>
        <v>36.568000000000005</v>
      </c>
      <c r="Q35" s="33">
        <f t="shared" si="2"/>
        <v>39.493440000000007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2620.1999999999998</v>
      </c>
      <c r="I36" s="10">
        <v>225</v>
      </c>
      <c r="J36" s="10">
        <v>0</v>
      </c>
      <c r="K36" s="16">
        <v>724.44</v>
      </c>
      <c r="L36" s="12"/>
      <c r="M36" s="13">
        <f t="shared" si="6"/>
        <v>1430.3600000000001</v>
      </c>
      <c r="N36" s="14">
        <f t="shared" si="0"/>
        <v>4050.56</v>
      </c>
      <c r="O36" s="5" t="s">
        <v>47</v>
      </c>
      <c r="P36" s="33">
        <f t="shared" si="1"/>
        <v>143.03600000000003</v>
      </c>
      <c r="Q36" s="33">
        <f t="shared" si="2"/>
        <v>154.47888000000003</v>
      </c>
    </row>
    <row r="37" spans="1:17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3354.4</v>
      </c>
      <c r="I37" s="10">
        <v>75</v>
      </c>
      <c r="J37" s="10">
        <v>35</v>
      </c>
      <c r="K37" s="11"/>
      <c r="L37" s="19"/>
      <c r="M37" s="13">
        <f t="shared" si="6"/>
        <v>535.59999999999991</v>
      </c>
      <c r="N37" s="14">
        <f t="shared" si="0"/>
        <v>3890</v>
      </c>
      <c r="O37" s="5" t="s">
        <v>47</v>
      </c>
      <c r="P37" s="33">
        <f t="shared" si="1"/>
        <v>53.559999999999995</v>
      </c>
      <c r="Q37" s="33">
        <f t="shared" si="2"/>
        <v>57.844799999999999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3354.2</v>
      </c>
      <c r="I38" s="10">
        <v>150</v>
      </c>
      <c r="J38" s="10">
        <v>70</v>
      </c>
      <c r="K38" s="21"/>
      <c r="L38" s="19"/>
      <c r="M38" s="13">
        <f t="shared" si="6"/>
        <v>3425.8</v>
      </c>
      <c r="N38" s="14">
        <f>H38+M38</f>
        <v>6780</v>
      </c>
      <c r="O38" s="5" t="s">
        <v>118</v>
      </c>
      <c r="P38" s="33">
        <f t="shared" si="1"/>
        <v>342.58000000000004</v>
      </c>
      <c r="Q38" s="33">
        <f t="shared" si="2"/>
        <v>369.98640000000006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3095</v>
      </c>
      <c r="I39" s="10">
        <v>300</v>
      </c>
      <c r="J39" s="10">
        <v>105</v>
      </c>
      <c r="K39" s="21"/>
      <c r="L39" s="19"/>
      <c r="M39" s="22">
        <f>C39-H39-I39+L39-K39-J39</f>
        <v>0</v>
      </c>
      <c r="N39" s="14">
        <f t="shared" si="0"/>
        <v>3095</v>
      </c>
      <c r="O39" s="5">
        <v>0.03</v>
      </c>
      <c r="P39" s="33">
        <f t="shared" si="1"/>
        <v>0</v>
      </c>
      <c r="Q39" s="33">
        <f t="shared" si="2"/>
        <v>0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2879.2</v>
      </c>
      <c r="I40" s="10">
        <v>0</v>
      </c>
      <c r="J40" s="10">
        <v>0</v>
      </c>
      <c r="K40" s="21">
        <v>587.84</v>
      </c>
      <c r="L40" s="19">
        <v>1625</v>
      </c>
      <c r="M40" s="22">
        <f>C40-H40-I40+L40-K40-J40</f>
        <v>1532.96</v>
      </c>
      <c r="N40" s="14">
        <f t="shared" si="0"/>
        <v>4412.16</v>
      </c>
      <c r="O40" s="5">
        <v>0.03</v>
      </c>
      <c r="P40" s="33">
        <f t="shared" si="1"/>
        <v>153.29600000000002</v>
      </c>
      <c r="Q40" s="33">
        <f t="shared" si="2"/>
        <v>165.55968000000004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3354.2</v>
      </c>
      <c r="I41" s="10">
        <v>375</v>
      </c>
      <c r="J41" s="10">
        <v>140</v>
      </c>
      <c r="K41" s="11"/>
      <c r="L41" s="19"/>
      <c r="M41" s="13">
        <f t="shared" si="6"/>
        <v>1130.8000000000002</v>
      </c>
      <c r="N41" s="14">
        <f t="shared" si="0"/>
        <v>4485</v>
      </c>
      <c r="O41" s="5">
        <v>0.03</v>
      </c>
      <c r="P41" s="33">
        <f t="shared" si="1"/>
        <v>113.08000000000003</v>
      </c>
      <c r="Q41" s="33">
        <f t="shared" si="2"/>
        <v>122.12640000000003</v>
      </c>
    </row>
    <row r="42" spans="1:17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3354.4</v>
      </c>
      <c r="I42" s="10">
        <v>0</v>
      </c>
      <c r="J42" s="10">
        <v>105</v>
      </c>
      <c r="K42" s="21"/>
      <c r="L42" s="19"/>
      <c r="M42" s="22">
        <f>C42-H42-I42+L42-K42-J42</f>
        <v>40.599999999999909</v>
      </c>
      <c r="N42" s="14">
        <f t="shared" si="0"/>
        <v>3395</v>
      </c>
      <c r="O42" s="5" t="s">
        <v>118</v>
      </c>
      <c r="P42" s="33">
        <f t="shared" si="1"/>
        <v>4.0599999999999907</v>
      </c>
      <c r="Q42" s="33">
        <f t="shared" si="2"/>
        <v>4.3847999999999905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0</v>
      </c>
      <c r="J43" s="10">
        <v>0</v>
      </c>
      <c r="K43" s="11"/>
      <c r="L43" s="19"/>
      <c r="M43" s="13">
        <f t="shared" si="6"/>
        <v>1645.6</v>
      </c>
      <c r="N43" s="14">
        <f t="shared" si="0"/>
        <v>5000</v>
      </c>
      <c r="O43" s="5" t="s">
        <v>119</v>
      </c>
      <c r="P43" s="33">
        <f t="shared" si="1"/>
        <v>164.56</v>
      </c>
      <c r="Q43" s="33">
        <f t="shared" si="2"/>
        <v>177.72480000000002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3354.4</v>
      </c>
      <c r="I44" s="10">
        <v>0</v>
      </c>
      <c r="J44" s="10">
        <v>0</v>
      </c>
      <c r="K44" s="11"/>
      <c r="L44" s="19"/>
      <c r="M44" s="13">
        <f t="shared" si="6"/>
        <v>5395.6</v>
      </c>
      <c r="N44" s="14">
        <f t="shared" si="0"/>
        <v>8750</v>
      </c>
      <c r="O44" s="5">
        <v>0.03</v>
      </c>
      <c r="P44" s="33">
        <f t="shared" si="1"/>
        <v>539.56000000000006</v>
      </c>
      <c r="Q44" s="33">
        <f t="shared" si="2"/>
        <v>582.72480000000007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3238.6</v>
      </c>
      <c r="I45" s="10">
        <v>0</v>
      </c>
      <c r="J45" s="10">
        <v>0</v>
      </c>
      <c r="K45" s="21">
        <v>314.27999999999997</v>
      </c>
      <c r="L45" s="19"/>
      <c r="M45" s="13">
        <f t="shared" si="6"/>
        <v>1447.1200000000001</v>
      </c>
      <c r="N45" s="14">
        <f t="shared" si="0"/>
        <v>4685.72</v>
      </c>
      <c r="O45" s="5">
        <v>0.03</v>
      </c>
      <c r="P45" s="33">
        <f t="shared" si="1"/>
        <v>144.71200000000002</v>
      </c>
      <c r="Q45" s="33">
        <f t="shared" si="2"/>
        <v>156.28896000000003</v>
      </c>
    </row>
    <row r="46" spans="1:17" s="55" customFormat="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2699.8</v>
      </c>
      <c r="I46" s="10">
        <v>0</v>
      </c>
      <c r="J46" s="10">
        <v>0</v>
      </c>
      <c r="K46" s="11">
        <v>1005.68</v>
      </c>
      <c r="L46" s="19"/>
      <c r="M46" s="13">
        <f t="shared" si="6"/>
        <v>294.51999999999987</v>
      </c>
      <c r="N46" s="14">
        <f t="shared" si="0"/>
        <v>2994.32</v>
      </c>
      <c r="O46" s="5" t="s">
        <v>48</v>
      </c>
      <c r="P46" s="33">
        <f t="shared" si="1"/>
        <v>29.451999999999988</v>
      </c>
      <c r="Q46" s="33">
        <f t="shared" si="2"/>
        <v>31.80815999999999</v>
      </c>
    </row>
    <row r="47" spans="1:17" s="55" customFormat="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>
        <v>0</v>
      </c>
      <c r="J47" s="10">
        <v>0</v>
      </c>
      <c r="K47" s="21"/>
      <c r="L47" s="19"/>
      <c r="M47" s="13">
        <f>C47-H47-I47+L47-K47-J47</f>
        <v>645.59999999999991</v>
      </c>
      <c r="N47" s="14">
        <f t="shared" si="0"/>
        <v>4000</v>
      </c>
      <c r="O47" s="5" t="s">
        <v>48</v>
      </c>
      <c r="P47" s="33">
        <f t="shared" si="1"/>
        <v>64.559999999999988</v>
      </c>
      <c r="Q47" s="33">
        <f t="shared" si="2"/>
        <v>69.724799999999988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3354.2</v>
      </c>
      <c r="I48" s="10">
        <v>375</v>
      </c>
      <c r="J48" s="10">
        <v>0</v>
      </c>
      <c r="K48" s="11"/>
      <c r="L48" s="19"/>
      <c r="M48" s="13">
        <f t="shared" si="6"/>
        <v>270.80000000000018</v>
      </c>
      <c r="N48" s="14">
        <f t="shared" si="0"/>
        <v>3625</v>
      </c>
      <c r="O48" s="5" t="s">
        <v>118</v>
      </c>
      <c r="P48" s="33">
        <f t="shared" si="1"/>
        <v>27.08000000000002</v>
      </c>
      <c r="Q48" s="33">
        <f t="shared" si="2"/>
        <v>29.246400000000023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>
        <v>75</v>
      </c>
      <c r="J49" s="10">
        <v>175</v>
      </c>
      <c r="K49" s="21"/>
      <c r="L49" s="19"/>
      <c r="M49" s="13">
        <f t="shared" si="6"/>
        <v>1395.8000000000002</v>
      </c>
      <c r="N49" s="14">
        <f t="shared" si="0"/>
        <v>4750</v>
      </c>
      <c r="O49" s="5" t="s">
        <v>118</v>
      </c>
      <c r="P49" s="33">
        <f t="shared" si="1"/>
        <v>139.58000000000001</v>
      </c>
      <c r="Q49" s="33">
        <f t="shared" si="2"/>
        <v>150.74640000000002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3354.4</v>
      </c>
      <c r="I50" s="10">
        <v>0</v>
      </c>
      <c r="J50" s="10">
        <v>0</v>
      </c>
      <c r="K50" s="11"/>
      <c r="L50" s="19"/>
      <c r="M50" s="13">
        <f t="shared" si="6"/>
        <v>145.59999999999991</v>
      </c>
      <c r="N50" s="14">
        <f t="shared" si="0"/>
        <v>3500</v>
      </c>
      <c r="O50" s="5">
        <v>0.03</v>
      </c>
      <c r="P50" s="33">
        <f t="shared" si="1"/>
        <v>14.559999999999992</v>
      </c>
      <c r="Q50" s="33">
        <f t="shared" si="2"/>
        <v>15.724799999999991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0</v>
      </c>
      <c r="J51" s="10">
        <v>0</v>
      </c>
      <c r="K51" s="11"/>
      <c r="L51" s="19"/>
      <c r="M51" s="13">
        <f t="shared" si="6"/>
        <v>145.59999999999991</v>
      </c>
      <c r="N51" s="14">
        <f t="shared" si="0"/>
        <v>3500</v>
      </c>
      <c r="O51" s="5">
        <v>0.03</v>
      </c>
      <c r="P51" s="33">
        <f t="shared" si="1"/>
        <v>14.559999999999992</v>
      </c>
      <c r="Q51" s="33">
        <f t="shared" si="2"/>
        <v>15.724799999999991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3354.2</v>
      </c>
      <c r="I52" s="10">
        <v>75</v>
      </c>
      <c r="J52" s="10">
        <v>105</v>
      </c>
      <c r="K52" s="11"/>
      <c r="L52" s="19"/>
      <c r="M52" s="13">
        <f t="shared" si="6"/>
        <v>715.80000000000018</v>
      </c>
      <c r="N52" s="14">
        <f t="shared" si="0"/>
        <v>4070</v>
      </c>
      <c r="O52" s="5">
        <v>0.03</v>
      </c>
      <c r="P52" s="33">
        <f t="shared" si="1"/>
        <v>71.580000000000027</v>
      </c>
      <c r="Q52" s="33">
        <f t="shared" si="2"/>
        <v>77.306400000000039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3354.4</v>
      </c>
      <c r="I53" s="10">
        <v>300</v>
      </c>
      <c r="J53" s="10">
        <v>70</v>
      </c>
      <c r="K53" s="11"/>
      <c r="L53" s="12"/>
      <c r="M53" s="13">
        <f t="shared" si="6"/>
        <v>275.59999999999991</v>
      </c>
      <c r="N53" s="14">
        <f t="shared" si="0"/>
        <v>3630</v>
      </c>
      <c r="O53" s="5">
        <v>0.03</v>
      </c>
      <c r="P53" s="33">
        <f t="shared" si="1"/>
        <v>27.559999999999992</v>
      </c>
      <c r="Q53" s="33">
        <f t="shared" si="2"/>
        <v>29.764799999999994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3354.4</v>
      </c>
      <c r="I54" s="10">
        <v>375</v>
      </c>
      <c r="J54" s="10">
        <v>175</v>
      </c>
      <c r="K54" s="11"/>
      <c r="L54" s="12"/>
      <c r="M54" s="22">
        <f t="shared" ref="M54:M60" si="7">C54-H54-I54+L54-K54-J54+0.02</f>
        <v>95.619999999999905</v>
      </c>
      <c r="N54" s="14">
        <f t="shared" si="0"/>
        <v>3450.02</v>
      </c>
      <c r="O54" s="5">
        <v>0.03</v>
      </c>
      <c r="P54" s="33">
        <f t="shared" si="1"/>
        <v>9.5619999999999905</v>
      </c>
      <c r="Q54" s="33">
        <f t="shared" si="2"/>
        <v>10.326959999999991</v>
      </c>
    </row>
    <row r="55" spans="1:18" x14ac:dyDescent="0.25">
      <c r="A55" s="5">
        <v>295</v>
      </c>
      <c r="B55" s="6" t="s">
        <v>104</v>
      </c>
      <c r="C55" s="7">
        <v>5500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3354.2</v>
      </c>
      <c r="I55" s="10">
        <v>375</v>
      </c>
      <c r="J55" s="10">
        <v>175</v>
      </c>
      <c r="K55" s="11"/>
      <c r="L55" s="12"/>
      <c r="M55" s="22">
        <f t="shared" si="7"/>
        <v>1595.8200000000002</v>
      </c>
      <c r="N55" s="14">
        <f t="shared" si="0"/>
        <v>4950.0200000000004</v>
      </c>
      <c r="O55" s="5" t="s">
        <v>118</v>
      </c>
      <c r="P55" s="33">
        <f t="shared" si="1"/>
        <v>159.58200000000002</v>
      </c>
      <c r="Q55" s="33">
        <f t="shared" si="2"/>
        <v>172.34856000000005</v>
      </c>
    </row>
    <row r="56" spans="1:18" x14ac:dyDescent="0.25">
      <c r="A56" s="42">
        <v>296</v>
      </c>
      <c r="B56" s="43" t="s">
        <v>107</v>
      </c>
      <c r="C56" s="44">
        <v>5000</v>
      </c>
      <c r="D56" s="44">
        <v>419.88</v>
      </c>
      <c r="E56" s="45">
        <f t="shared" si="3"/>
        <v>2519.2799999999997</v>
      </c>
      <c r="F56" s="45">
        <f t="shared" si="4"/>
        <v>419.88</v>
      </c>
      <c r="G56" s="46">
        <f t="shared" si="5"/>
        <v>2939.16</v>
      </c>
      <c r="H56" s="47">
        <v>3714.2</v>
      </c>
      <c r="I56" s="48">
        <v>0</v>
      </c>
      <c r="J56" s="48">
        <v>0</v>
      </c>
      <c r="K56" s="99">
        <v>0</v>
      </c>
      <c r="L56" s="50"/>
      <c r="M56" s="51">
        <v>0</v>
      </c>
      <c r="N56" s="52">
        <f>H56+M56</f>
        <v>3714.2</v>
      </c>
      <c r="O56" s="42" t="s">
        <v>50</v>
      </c>
      <c r="P56" s="54">
        <f t="shared" si="1"/>
        <v>0</v>
      </c>
      <c r="Q56" s="54">
        <f t="shared" si="2"/>
        <v>0</v>
      </c>
    </row>
    <row r="57" spans="1:18" x14ac:dyDescent="0.25">
      <c r="A57" s="5">
        <v>297</v>
      </c>
      <c r="B57" s="6" t="s">
        <v>110</v>
      </c>
      <c r="C57" s="7">
        <v>4000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3354.4</v>
      </c>
      <c r="I57" s="10">
        <v>0</v>
      </c>
      <c r="J57" s="10">
        <v>0</v>
      </c>
      <c r="K57" s="11"/>
      <c r="L57" s="12"/>
      <c r="M57" s="22">
        <f t="shared" si="7"/>
        <v>645.61999999999989</v>
      </c>
      <c r="N57" s="14">
        <f t="shared" si="0"/>
        <v>4000.02</v>
      </c>
      <c r="O57" s="5" t="s">
        <v>50</v>
      </c>
      <c r="P57" s="33">
        <f t="shared" si="1"/>
        <v>64.561999999999998</v>
      </c>
      <c r="Q57" s="33">
        <f t="shared" si="2"/>
        <v>69.726960000000005</v>
      </c>
    </row>
    <row r="58" spans="1:18" x14ac:dyDescent="0.25">
      <c r="A58" s="5">
        <v>298</v>
      </c>
      <c r="B58" s="6" t="s">
        <v>115</v>
      </c>
      <c r="C58" s="7">
        <v>5000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1827.4</v>
      </c>
      <c r="I58" s="10">
        <v>225</v>
      </c>
      <c r="J58" s="10">
        <v>70</v>
      </c>
      <c r="K58" s="16">
        <v>1442.03</v>
      </c>
      <c r="L58" s="12"/>
      <c r="M58" s="22">
        <f t="shared" si="7"/>
        <v>1435.59</v>
      </c>
      <c r="N58" s="14">
        <f t="shared" si="0"/>
        <v>3262.99</v>
      </c>
      <c r="O58" s="5">
        <v>0.03</v>
      </c>
      <c r="P58" s="33">
        <f t="shared" si="1"/>
        <v>143.559</v>
      </c>
      <c r="Q58" s="33">
        <f t="shared" si="2"/>
        <v>155.04372000000001</v>
      </c>
    </row>
    <row r="59" spans="1:18" x14ac:dyDescent="0.25">
      <c r="A59" s="5">
        <v>299</v>
      </c>
      <c r="B59" s="6" t="s">
        <v>116</v>
      </c>
      <c r="C59" s="7">
        <v>4000</v>
      </c>
      <c r="D59" s="7">
        <v>419.88</v>
      </c>
      <c r="E59" s="8">
        <f t="shared" si="3"/>
        <v>2519.2799999999997</v>
      </c>
      <c r="F59" s="8">
        <f t="shared" si="4"/>
        <v>419.88</v>
      </c>
      <c r="G59" s="9">
        <f t="shared" si="5"/>
        <v>2939.16</v>
      </c>
      <c r="H59" s="37">
        <v>3354.4</v>
      </c>
      <c r="I59" s="10">
        <v>300</v>
      </c>
      <c r="J59" s="10">
        <v>175</v>
      </c>
      <c r="K59" s="11"/>
      <c r="L59" s="12"/>
      <c r="M59" s="22">
        <f t="shared" si="7"/>
        <v>170.61999999999992</v>
      </c>
      <c r="N59" s="14">
        <f t="shared" si="0"/>
        <v>3525.02</v>
      </c>
      <c r="O59" s="5">
        <v>0.03</v>
      </c>
      <c r="P59" s="33">
        <f t="shared" si="1"/>
        <v>17.061999999999994</v>
      </c>
      <c r="Q59" s="33">
        <f t="shared" si="2"/>
        <v>18.426959999999994</v>
      </c>
    </row>
    <row r="60" spans="1:18" x14ac:dyDescent="0.25">
      <c r="A60" s="5">
        <v>300</v>
      </c>
      <c r="B60" s="6" t="s">
        <v>121</v>
      </c>
      <c r="C60" s="7">
        <v>6250</v>
      </c>
      <c r="D60" s="7">
        <v>419.88</v>
      </c>
      <c r="E60" s="8">
        <f t="shared" si="3"/>
        <v>2519.2799999999997</v>
      </c>
      <c r="F60" s="8">
        <f t="shared" si="4"/>
        <v>419.88</v>
      </c>
      <c r="G60" s="9">
        <f t="shared" si="5"/>
        <v>2939.16</v>
      </c>
      <c r="H60" s="37">
        <v>3354.2</v>
      </c>
      <c r="I60" s="10">
        <v>0</v>
      </c>
      <c r="J60" s="10">
        <v>0</v>
      </c>
      <c r="K60" s="11"/>
      <c r="L60" s="12"/>
      <c r="M60" s="22">
        <f t="shared" si="7"/>
        <v>2895.82</v>
      </c>
      <c r="N60" s="14">
        <f t="shared" si="0"/>
        <v>6250.02</v>
      </c>
      <c r="O60" s="5">
        <v>0.03</v>
      </c>
      <c r="P60" s="33">
        <f t="shared" si="1"/>
        <v>289.58200000000005</v>
      </c>
      <c r="Q60" s="33">
        <f t="shared" si="2"/>
        <v>312.74856000000005</v>
      </c>
    </row>
    <row r="61" spans="1:18" ht="16.149999999999999" customHeight="1" thickBot="1" x14ac:dyDescent="0.3"/>
    <row r="62" spans="1:18" ht="18" thickBot="1" x14ac:dyDescent="0.35">
      <c r="A62" s="23"/>
      <c r="B62" s="24"/>
      <c r="C62" s="25">
        <f>SUM(C4:C61)</f>
        <v>281375</v>
      </c>
      <c r="D62" s="25">
        <f t="shared" ref="D62:N62" si="8">SUM(D4:D61)</f>
        <v>23933.160000000003</v>
      </c>
      <c r="E62" s="25">
        <f t="shared" si="8"/>
        <v>141079.67999999996</v>
      </c>
      <c r="F62" s="25">
        <f t="shared" si="8"/>
        <v>23513.280000000002</v>
      </c>
      <c r="G62" s="25">
        <f t="shared" si="8"/>
        <v>164592.96000000014</v>
      </c>
      <c r="H62" s="25">
        <f>SUM(H4:H61)</f>
        <v>180374.99999999994</v>
      </c>
      <c r="I62" s="26">
        <f t="shared" si="8"/>
        <v>8175</v>
      </c>
      <c r="J62" s="26">
        <f t="shared" si="8"/>
        <v>4165</v>
      </c>
      <c r="K62" s="26">
        <f t="shared" si="8"/>
        <v>7991.3799999999992</v>
      </c>
      <c r="L62" s="27">
        <f>SUM(L4:L61)</f>
        <v>1910.71</v>
      </c>
      <c r="M62" s="25">
        <f>SUM(M4:M61)</f>
        <v>81293.650000000038</v>
      </c>
      <c r="N62" s="25">
        <f t="shared" si="8"/>
        <v>261668.64999999997</v>
      </c>
      <c r="P62" s="25">
        <f>SUM(P4:P61)</f>
        <v>8129.3650000000061</v>
      </c>
      <c r="Q62" s="25">
        <f>SUM(Q4:Q61)</f>
        <v>8779.7142000000022</v>
      </c>
      <c r="R62" s="55">
        <f>+N62+Q62</f>
        <v>270448.36419999995</v>
      </c>
    </row>
  </sheetData>
  <autoFilter ref="A3:Q60" xr:uid="{00000000-0009-0000-0000-000019000000}"/>
  <mergeCells count="2">
    <mergeCell ref="A1:N1"/>
    <mergeCell ref="A2:N2"/>
  </mergeCells>
  <pageMargins left="0.25" right="0.25" top="0.75" bottom="0.75" header="0.3" footer="0.3"/>
  <pageSetup scale="45" fitToWidth="0" orientation="landscape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301EE-1E6B-4C42-BE22-5B5BAC9B4EB9}">
  <sheetPr codeName="Hoja29">
    <pageSetUpPr fitToPage="1"/>
  </sheetPr>
  <dimension ref="A1:R62"/>
  <sheetViews>
    <sheetView showGridLines="0" topLeftCell="C1" zoomScaleNormal="100" workbookViewId="0">
      <selection activeCell="K17" sqref="K17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123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9" si="0">H4+M4</f>
        <v>0</v>
      </c>
      <c r="O4" s="81" t="s">
        <v>48</v>
      </c>
      <c r="P4" s="82">
        <f t="shared" ref="P4:P59" si="1">+M4*0.1</f>
        <v>0</v>
      </c>
      <c r="Q4" s="82">
        <f t="shared" ref="Q4:Q59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9" si="3">D5*6</f>
        <v>2519.2799999999997</v>
      </c>
      <c r="F5" s="8">
        <f t="shared" ref="F5:F59" si="4">$D$4</f>
        <v>419.88</v>
      </c>
      <c r="G5" s="9">
        <f t="shared" ref="G5:G59" si="5">E5+F5</f>
        <v>2939.16</v>
      </c>
      <c r="H5" s="37">
        <v>3354.2</v>
      </c>
      <c r="I5" s="10">
        <v>375</v>
      </c>
      <c r="J5" s="10">
        <v>0</v>
      </c>
      <c r="K5" s="11"/>
      <c r="L5" s="19"/>
      <c r="M5" s="13">
        <f>C5-H5-I5+L5-K5-J5</f>
        <v>270.80000000000018</v>
      </c>
      <c r="N5" s="14">
        <f t="shared" si="0"/>
        <v>3625</v>
      </c>
      <c r="O5" s="29" t="s">
        <v>47</v>
      </c>
      <c r="P5" s="33">
        <f t="shared" si="1"/>
        <v>27.08000000000002</v>
      </c>
      <c r="Q5" s="33">
        <f t="shared" si="2"/>
        <v>29.246400000000023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2879</v>
      </c>
      <c r="I6" s="18">
        <v>0</v>
      </c>
      <c r="J6" s="18">
        <v>175</v>
      </c>
      <c r="K6" s="21">
        <v>2142.86</v>
      </c>
      <c r="L6" s="19"/>
      <c r="M6" s="13">
        <f t="shared" ref="M6:M53" si="6">C6-H6-I6+L6-K6-J6</f>
        <v>9803.14</v>
      </c>
      <c r="N6" s="14">
        <f>H6+M6</f>
        <v>12682.14</v>
      </c>
      <c r="O6" s="30" t="s">
        <v>118</v>
      </c>
      <c r="P6" s="33">
        <f t="shared" si="1"/>
        <v>980.31399999999996</v>
      </c>
      <c r="Q6" s="33">
        <f t="shared" si="2"/>
        <v>1058.73912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3354.2</v>
      </c>
      <c r="I7" s="10">
        <v>150</v>
      </c>
      <c r="J7" s="10">
        <v>140</v>
      </c>
      <c r="K7" s="21"/>
      <c r="L7" s="19"/>
      <c r="M7" s="13">
        <f t="shared" si="6"/>
        <v>1355.8000000000002</v>
      </c>
      <c r="N7" s="14">
        <f t="shared" si="0"/>
        <v>4710</v>
      </c>
      <c r="O7" s="36" t="s">
        <v>118</v>
      </c>
      <c r="P7" s="33">
        <f t="shared" si="1"/>
        <v>135.58000000000001</v>
      </c>
      <c r="Q7" s="33">
        <f t="shared" si="2"/>
        <v>146.42640000000003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375</v>
      </c>
      <c r="J8" s="10">
        <v>105</v>
      </c>
      <c r="K8" s="11"/>
      <c r="L8" s="12"/>
      <c r="M8" s="13">
        <f t="shared" si="6"/>
        <v>665.59999999999991</v>
      </c>
      <c r="N8" s="14">
        <f t="shared" si="0"/>
        <v>4020</v>
      </c>
      <c r="O8" s="30" t="s">
        <v>118</v>
      </c>
      <c r="P8" s="33">
        <f t="shared" si="1"/>
        <v>66.559999999999988</v>
      </c>
      <c r="Q8" s="33">
        <f t="shared" si="2"/>
        <v>71.884799999999998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3354.2</v>
      </c>
      <c r="I9" s="10">
        <v>225</v>
      </c>
      <c r="J9" s="10">
        <v>140</v>
      </c>
      <c r="K9" s="21"/>
      <c r="L9" s="12"/>
      <c r="M9" s="22">
        <f>C9-H9-I9+L9-K9-J9</f>
        <v>280.80000000000018</v>
      </c>
      <c r="N9" s="14">
        <f t="shared" si="0"/>
        <v>3635</v>
      </c>
      <c r="O9" s="30" t="s">
        <v>47</v>
      </c>
      <c r="P9" s="33">
        <f t="shared" si="1"/>
        <v>28.08000000000002</v>
      </c>
      <c r="Q9" s="33">
        <f t="shared" si="2"/>
        <v>30.326400000000024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3354.4</v>
      </c>
      <c r="I10" s="10">
        <v>0</v>
      </c>
      <c r="J10" s="10">
        <v>0</v>
      </c>
      <c r="K10" s="20"/>
      <c r="L10" s="19"/>
      <c r="M10" s="13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3354.2</v>
      </c>
      <c r="I11" s="10">
        <v>225</v>
      </c>
      <c r="J11" s="10">
        <v>0</v>
      </c>
      <c r="K11" s="11"/>
      <c r="L11" s="12"/>
      <c r="M11" s="13">
        <f>C11-H11-I11+L11-K11-J11</f>
        <v>3420.8</v>
      </c>
      <c r="N11" s="14">
        <f t="shared" si="0"/>
        <v>6775</v>
      </c>
      <c r="O11" s="30" t="s">
        <v>118</v>
      </c>
      <c r="P11" s="33">
        <f t="shared" si="1"/>
        <v>342.08000000000004</v>
      </c>
      <c r="Q11" s="33">
        <f t="shared" si="2"/>
        <v>369.4464000000001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3354.2</v>
      </c>
      <c r="I12" s="10">
        <v>0</v>
      </c>
      <c r="J12" s="10">
        <v>140</v>
      </c>
      <c r="K12" s="11"/>
      <c r="L12" s="19"/>
      <c r="M12" s="13">
        <f>C12-H12-I12+L12-K12-J12</f>
        <v>1505.8000000000002</v>
      </c>
      <c r="N12" s="14">
        <f t="shared" si="0"/>
        <v>4860</v>
      </c>
      <c r="O12" s="30">
        <v>0.03</v>
      </c>
      <c r="P12" s="33">
        <f t="shared" si="1"/>
        <v>150.58000000000001</v>
      </c>
      <c r="Q12" s="33">
        <f t="shared" si="2"/>
        <v>162.62640000000002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3385</v>
      </c>
      <c r="I13" s="10">
        <v>225</v>
      </c>
      <c r="J13" s="10">
        <v>140</v>
      </c>
      <c r="K13" s="21"/>
      <c r="L13" s="19">
        <v>250</v>
      </c>
      <c r="M13" s="13">
        <f>C13-H13-I13+L13-K13-J13</f>
        <v>0</v>
      </c>
      <c r="N13" s="14">
        <f t="shared" si="0"/>
        <v>3385</v>
      </c>
      <c r="O13" s="30">
        <v>0.03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3120.2</v>
      </c>
      <c r="I14" s="10">
        <v>150</v>
      </c>
      <c r="J14" s="10">
        <v>105</v>
      </c>
      <c r="K14" s="21">
        <v>293.92</v>
      </c>
      <c r="L14" s="19"/>
      <c r="M14" s="22">
        <f>C14-H14-I14+L14-K14-J14</f>
        <v>330.88000000000017</v>
      </c>
      <c r="N14" s="14">
        <f t="shared" si="0"/>
        <v>3451.08</v>
      </c>
      <c r="O14" s="36" t="s">
        <v>50</v>
      </c>
      <c r="P14" s="33">
        <f t="shared" si="1"/>
        <v>33.088000000000015</v>
      </c>
      <c r="Q14" s="33">
        <f t="shared" si="2"/>
        <v>35.735040000000019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>
        <v>0</v>
      </c>
      <c r="J15" s="10">
        <v>0</v>
      </c>
      <c r="K15" s="21"/>
      <c r="L15" s="19"/>
      <c r="M15" s="13">
        <f t="shared" si="6"/>
        <v>645.59999999999991</v>
      </c>
      <c r="N15" s="14">
        <f t="shared" si="0"/>
        <v>4000</v>
      </c>
      <c r="O15" s="30" t="s">
        <v>47</v>
      </c>
      <c r="P15" s="33">
        <f t="shared" si="1"/>
        <v>64.559999999999988</v>
      </c>
      <c r="Q15" s="33">
        <f t="shared" si="2"/>
        <v>69.724799999999988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3354.4</v>
      </c>
      <c r="I16" s="10">
        <v>150</v>
      </c>
      <c r="J16" s="10">
        <v>70</v>
      </c>
      <c r="K16" s="21"/>
      <c r="L16" s="19"/>
      <c r="M16" s="13">
        <f>C16-H16-I16+L16-K16-J16</f>
        <v>425.59999999999991</v>
      </c>
      <c r="N16" s="14">
        <f t="shared" si="0"/>
        <v>3780</v>
      </c>
      <c r="O16" s="29">
        <v>0.03</v>
      </c>
      <c r="P16" s="33">
        <f t="shared" si="1"/>
        <v>42.559999999999995</v>
      </c>
      <c r="Q16" s="33">
        <f t="shared" si="2"/>
        <v>45.964799999999997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3261.2</v>
      </c>
      <c r="I17" s="10">
        <v>75</v>
      </c>
      <c r="J17" s="10">
        <v>0</v>
      </c>
      <c r="K17" s="21">
        <v>209.94</v>
      </c>
      <c r="L17" s="19">
        <v>285.70999999999998</v>
      </c>
      <c r="M17" s="13">
        <f t="shared" si="6"/>
        <v>739.57000000000016</v>
      </c>
      <c r="N17" s="14">
        <f t="shared" si="0"/>
        <v>4000.77</v>
      </c>
      <c r="O17" s="29" t="s">
        <v>48</v>
      </c>
      <c r="P17" s="33">
        <f t="shared" si="1"/>
        <v>73.957000000000022</v>
      </c>
      <c r="Q17" s="33">
        <f t="shared" si="2"/>
        <v>79.873560000000026</v>
      </c>
    </row>
    <row r="18" spans="1:17" x14ac:dyDescent="0.25">
      <c r="A18" s="5">
        <v>162</v>
      </c>
      <c r="B18" s="6" t="s">
        <v>27</v>
      </c>
      <c r="C18" s="7">
        <v>4500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3238.6</v>
      </c>
      <c r="I18" s="10">
        <v>375</v>
      </c>
      <c r="J18" s="10">
        <v>140</v>
      </c>
      <c r="K18" s="21">
        <v>282.86</v>
      </c>
      <c r="L18" s="19"/>
      <c r="M18" s="13">
        <f t="shared" si="6"/>
        <v>463.54000000000008</v>
      </c>
      <c r="N18" s="14">
        <f t="shared" si="0"/>
        <v>3702.14</v>
      </c>
      <c r="O18" s="29">
        <v>0.03</v>
      </c>
      <c r="P18" s="33">
        <f t="shared" si="1"/>
        <v>46.354000000000013</v>
      </c>
      <c r="Q18" s="33">
        <f t="shared" si="2"/>
        <v>50.062320000000021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2390.8000000000002</v>
      </c>
      <c r="I19" s="10">
        <v>0</v>
      </c>
      <c r="J19" s="10">
        <v>0</v>
      </c>
      <c r="K19" s="16">
        <v>2010.92</v>
      </c>
      <c r="L19" s="12"/>
      <c r="M19" s="13">
        <f t="shared" si="6"/>
        <v>5598.28</v>
      </c>
      <c r="N19" s="14">
        <f t="shared" si="0"/>
        <v>7989.08</v>
      </c>
      <c r="O19" s="29" t="s">
        <v>50</v>
      </c>
      <c r="P19" s="33">
        <f t="shared" si="1"/>
        <v>559.82799999999997</v>
      </c>
      <c r="Q19" s="33">
        <f t="shared" si="2"/>
        <v>604.61424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3469.6</v>
      </c>
      <c r="I20" s="10">
        <v>375</v>
      </c>
      <c r="J20" s="10">
        <v>175</v>
      </c>
      <c r="K20" s="21"/>
      <c r="L20" s="19">
        <v>857.14</v>
      </c>
      <c r="M20" s="13">
        <f t="shared" si="6"/>
        <v>4837.54</v>
      </c>
      <c r="N20" s="14">
        <f t="shared" si="0"/>
        <v>8307.14</v>
      </c>
      <c r="O20" s="29">
        <v>0.03</v>
      </c>
      <c r="P20" s="33">
        <f t="shared" si="1"/>
        <v>483.75400000000002</v>
      </c>
      <c r="Q20" s="33">
        <f t="shared" si="2"/>
        <v>522.45432000000005</v>
      </c>
    </row>
    <row r="21" spans="1:17" s="55" customFormat="1" ht="13.5" customHeight="1" x14ac:dyDescent="0.25">
      <c r="A21" s="5">
        <v>204</v>
      </c>
      <c r="B21" s="6" t="s">
        <v>33</v>
      </c>
      <c r="C21" s="7">
        <v>5000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>
        <v>150</v>
      </c>
      <c r="J21" s="10">
        <v>175</v>
      </c>
      <c r="K21" s="11"/>
      <c r="L21" s="19"/>
      <c r="M21" s="13">
        <f t="shared" si="6"/>
        <v>1320.6</v>
      </c>
      <c r="N21" s="14">
        <f t="shared" si="0"/>
        <v>4675</v>
      </c>
      <c r="O21" s="29" t="s">
        <v>118</v>
      </c>
      <c r="P21" s="33">
        <f t="shared" si="1"/>
        <v>132.06</v>
      </c>
      <c r="Q21" s="33">
        <f t="shared" si="2"/>
        <v>142.62480000000002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0</v>
      </c>
      <c r="J22" s="10">
        <v>0</v>
      </c>
      <c r="K22" s="11"/>
      <c r="L22" s="12"/>
      <c r="M22" s="13">
        <f t="shared" si="6"/>
        <v>645.59999999999991</v>
      </c>
      <c r="N22" s="14">
        <f t="shared" si="0"/>
        <v>4000</v>
      </c>
      <c r="O22" s="29" t="s">
        <v>50</v>
      </c>
      <c r="P22" s="33">
        <f t="shared" si="1"/>
        <v>64.559999999999988</v>
      </c>
      <c r="Q22" s="33">
        <f t="shared" si="2"/>
        <v>69.724799999999988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3393.2</v>
      </c>
      <c r="I23" s="10">
        <v>375</v>
      </c>
      <c r="J23" s="10">
        <v>70</v>
      </c>
      <c r="K23" s="21"/>
      <c r="L23" s="19">
        <v>178.57</v>
      </c>
      <c r="M23" s="13">
        <f t="shared" si="6"/>
        <v>1340.3700000000001</v>
      </c>
      <c r="N23" s="14">
        <f t="shared" si="0"/>
        <v>4733.57</v>
      </c>
      <c r="O23" s="29" t="s">
        <v>118</v>
      </c>
      <c r="P23" s="33">
        <f t="shared" si="1"/>
        <v>134.03700000000001</v>
      </c>
      <c r="Q23" s="33">
        <f t="shared" si="2"/>
        <v>144.75996000000001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3354.4</v>
      </c>
      <c r="I24" s="10">
        <v>0</v>
      </c>
      <c r="J24" s="10">
        <v>0</v>
      </c>
      <c r="K24" s="12"/>
      <c r="L24" s="12"/>
      <c r="M24" s="13">
        <f t="shared" si="6"/>
        <v>145.59999999999991</v>
      </c>
      <c r="N24" s="14">
        <f t="shared" si="0"/>
        <v>3500</v>
      </c>
      <c r="O24" s="29" t="s">
        <v>49</v>
      </c>
      <c r="P24" s="33">
        <f t="shared" si="1"/>
        <v>14.559999999999992</v>
      </c>
      <c r="Q24" s="33">
        <f t="shared" si="2"/>
        <v>15.724799999999991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2744</v>
      </c>
      <c r="I25" s="10">
        <v>375</v>
      </c>
      <c r="J25" s="10">
        <v>175</v>
      </c>
      <c r="K25" s="16">
        <v>610.33000000000004</v>
      </c>
      <c r="L25" s="12"/>
      <c r="M25" s="22">
        <f>C25-H25-I25+L25-K25-J25</f>
        <v>95.669999999999959</v>
      </c>
      <c r="N25" s="14">
        <f t="shared" si="0"/>
        <v>2839.67</v>
      </c>
      <c r="O25" s="36">
        <v>0.03</v>
      </c>
      <c r="P25" s="33">
        <f t="shared" si="1"/>
        <v>9.5669999999999966</v>
      </c>
      <c r="Q25" s="33">
        <f t="shared" si="2"/>
        <v>10.332359999999998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3354.4</v>
      </c>
      <c r="I26" s="10">
        <v>375</v>
      </c>
      <c r="J26" s="10">
        <v>175</v>
      </c>
      <c r="K26" s="21"/>
      <c r="L26" s="19"/>
      <c r="M26" s="13">
        <f t="shared" si="6"/>
        <v>1095.5999999999999</v>
      </c>
      <c r="N26" s="14">
        <f t="shared" si="0"/>
        <v>4450</v>
      </c>
      <c r="O26" s="29">
        <v>0.03</v>
      </c>
      <c r="P26" s="33">
        <f t="shared" si="1"/>
        <v>109.56</v>
      </c>
      <c r="Q26" s="33">
        <f t="shared" si="2"/>
        <v>118.32480000000001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38354.400000000001</v>
      </c>
      <c r="I27" s="10">
        <v>375</v>
      </c>
      <c r="J27" s="10">
        <v>210</v>
      </c>
      <c r="K27" s="21"/>
      <c r="L27" s="19">
        <v>80000</v>
      </c>
      <c r="M27" s="13">
        <f t="shared" si="6"/>
        <v>49060.6</v>
      </c>
      <c r="N27" s="14">
        <f t="shared" si="0"/>
        <v>87415</v>
      </c>
      <c r="O27" s="29" t="s">
        <v>118</v>
      </c>
      <c r="P27" s="33">
        <f t="shared" si="1"/>
        <v>4906.0600000000004</v>
      </c>
      <c r="Q27" s="33">
        <f t="shared" si="2"/>
        <v>5298.5448000000006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3354.2</v>
      </c>
      <c r="I28" s="10">
        <v>375</v>
      </c>
      <c r="J28" s="10">
        <v>140</v>
      </c>
      <c r="K28" s="21"/>
      <c r="L28" s="12"/>
      <c r="M28" s="13">
        <f t="shared" si="6"/>
        <v>2130.8000000000002</v>
      </c>
      <c r="N28" s="14">
        <f t="shared" si="0"/>
        <v>5485</v>
      </c>
      <c r="O28" s="29" t="s">
        <v>118</v>
      </c>
      <c r="P28" s="33">
        <f t="shared" si="1"/>
        <v>213.08000000000004</v>
      </c>
      <c r="Q28" s="33">
        <f t="shared" si="2"/>
        <v>230.12640000000005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375</v>
      </c>
      <c r="J29" s="10">
        <v>70</v>
      </c>
      <c r="K29" s="21"/>
      <c r="L29" s="19"/>
      <c r="M29" s="13">
        <f t="shared" si="6"/>
        <v>2450.6</v>
      </c>
      <c r="N29" s="14">
        <f t="shared" si="0"/>
        <v>5805</v>
      </c>
      <c r="O29" s="31" t="s">
        <v>118</v>
      </c>
      <c r="P29" s="33">
        <f t="shared" si="1"/>
        <v>245.06</v>
      </c>
      <c r="Q29" s="33">
        <f t="shared" si="2"/>
        <v>264.66480000000001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3354.2</v>
      </c>
      <c r="I30" s="10">
        <v>375</v>
      </c>
      <c r="J30" s="10">
        <v>70</v>
      </c>
      <c r="K30" s="11"/>
      <c r="L30" s="19"/>
      <c r="M30" s="13">
        <f>C30-H30-I30+L30-K30-J30</f>
        <v>1200.8000000000002</v>
      </c>
      <c r="N30" s="14">
        <f>H30+M30</f>
        <v>4555</v>
      </c>
      <c r="O30" s="29" t="s">
        <v>118</v>
      </c>
      <c r="P30" s="33">
        <f>+M30*0.1</f>
        <v>120.08000000000003</v>
      </c>
      <c r="Q30" s="33">
        <f t="shared" si="2"/>
        <v>129.68640000000005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3354.2</v>
      </c>
      <c r="I31" s="10">
        <v>150</v>
      </c>
      <c r="J31" s="10">
        <v>0</v>
      </c>
      <c r="K31" s="21"/>
      <c r="L31" s="12"/>
      <c r="M31" s="13">
        <f>C31-H31-I31+L31-K31-J31</f>
        <v>1495.8000000000002</v>
      </c>
      <c r="N31" s="14">
        <f t="shared" si="0"/>
        <v>4850</v>
      </c>
      <c r="O31" s="29">
        <v>0.03</v>
      </c>
      <c r="P31" s="33">
        <f t="shared" si="1"/>
        <v>149.58000000000001</v>
      </c>
      <c r="Q31" s="33">
        <f t="shared" si="2"/>
        <v>161.54640000000003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0</v>
      </c>
      <c r="J32" s="10">
        <v>0</v>
      </c>
      <c r="K32" s="11"/>
      <c r="L32" s="12"/>
      <c r="M32" s="13">
        <f t="shared" si="6"/>
        <v>1645.6</v>
      </c>
      <c r="N32" s="14">
        <f>H32+M32</f>
        <v>5000</v>
      </c>
      <c r="O32" s="34" t="s">
        <v>47</v>
      </c>
      <c r="P32" s="33">
        <f t="shared" si="1"/>
        <v>164.56</v>
      </c>
      <c r="Q32" s="33">
        <f t="shared" si="2"/>
        <v>177.72480000000002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3354.4</v>
      </c>
      <c r="I33" s="10">
        <v>225</v>
      </c>
      <c r="J33" s="10">
        <v>140</v>
      </c>
      <c r="K33" s="21"/>
      <c r="L33" s="12"/>
      <c r="M33" s="22">
        <f>C33-H33-I33+L33-K33-J33</f>
        <v>280.59999999999991</v>
      </c>
      <c r="N33" s="14">
        <f t="shared" si="0"/>
        <v>3635</v>
      </c>
      <c r="O33" s="5">
        <v>0.03</v>
      </c>
      <c r="P33" s="33">
        <f t="shared" si="1"/>
        <v>28.059999999999992</v>
      </c>
      <c r="Q33" s="33">
        <f t="shared" si="2"/>
        <v>30.304799999999993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3354.2</v>
      </c>
      <c r="I34" s="10">
        <v>0</v>
      </c>
      <c r="J34" s="10">
        <v>0</v>
      </c>
      <c r="K34" s="11"/>
      <c r="L34" s="19"/>
      <c r="M34" s="13">
        <f t="shared" si="6"/>
        <v>1645.8000000000002</v>
      </c>
      <c r="N34" s="14">
        <f t="shared" si="0"/>
        <v>5000</v>
      </c>
      <c r="O34" s="5" t="s">
        <v>48</v>
      </c>
      <c r="P34" s="33">
        <f t="shared" si="1"/>
        <v>164.58000000000004</v>
      </c>
      <c r="Q34" s="33">
        <f t="shared" si="2"/>
        <v>177.74640000000005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2385.6</v>
      </c>
      <c r="I35" s="10">
        <v>225</v>
      </c>
      <c r="J35" s="10">
        <v>105</v>
      </c>
      <c r="K35" s="16">
        <v>898.62</v>
      </c>
      <c r="L35" s="19"/>
      <c r="M35" s="13">
        <f t="shared" si="6"/>
        <v>385.78000000000009</v>
      </c>
      <c r="N35" s="14">
        <f t="shared" si="0"/>
        <v>2771.38</v>
      </c>
      <c r="O35" s="5">
        <v>0.03</v>
      </c>
      <c r="P35" s="33">
        <f t="shared" si="1"/>
        <v>38.57800000000001</v>
      </c>
      <c r="Q35" s="33">
        <f t="shared" si="2"/>
        <v>41.664240000000014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2855.4</v>
      </c>
      <c r="I36" s="10">
        <v>375</v>
      </c>
      <c r="J36" s="10">
        <v>105</v>
      </c>
      <c r="K36" s="16">
        <v>851.35</v>
      </c>
      <c r="L36" s="12"/>
      <c r="M36" s="13">
        <f t="shared" si="6"/>
        <v>813.24999999999989</v>
      </c>
      <c r="N36" s="14">
        <f t="shared" si="0"/>
        <v>3668.65</v>
      </c>
      <c r="O36" s="5" t="s">
        <v>47</v>
      </c>
      <c r="P36" s="33">
        <f t="shared" si="1"/>
        <v>81.324999999999989</v>
      </c>
      <c r="Q36" s="33">
        <f t="shared" si="2"/>
        <v>87.830999999999989</v>
      </c>
    </row>
    <row r="37" spans="1:17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3393.2</v>
      </c>
      <c r="I37" s="10">
        <v>75</v>
      </c>
      <c r="J37" s="10">
        <v>0</v>
      </c>
      <c r="K37" s="11"/>
      <c r="L37" s="19">
        <v>142.86000000000001</v>
      </c>
      <c r="M37" s="13">
        <f t="shared" si="6"/>
        <v>674.6600000000002</v>
      </c>
      <c r="N37" s="14">
        <f t="shared" si="0"/>
        <v>4067.86</v>
      </c>
      <c r="O37" s="5" t="s">
        <v>47</v>
      </c>
      <c r="P37" s="33">
        <f t="shared" si="1"/>
        <v>67.466000000000022</v>
      </c>
      <c r="Q37" s="33">
        <f t="shared" si="2"/>
        <v>72.863280000000032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3354.4</v>
      </c>
      <c r="I38" s="10">
        <v>300</v>
      </c>
      <c r="J38" s="10">
        <v>175</v>
      </c>
      <c r="K38" s="21"/>
      <c r="L38" s="19"/>
      <c r="M38" s="13">
        <f t="shared" si="6"/>
        <v>3170.6</v>
      </c>
      <c r="N38" s="14">
        <f>H38+M38</f>
        <v>6525</v>
      </c>
      <c r="O38" s="5" t="s">
        <v>118</v>
      </c>
      <c r="P38" s="33">
        <f t="shared" si="1"/>
        <v>317.06</v>
      </c>
      <c r="Q38" s="33">
        <f t="shared" si="2"/>
        <v>342.4248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2950</v>
      </c>
      <c r="I39" s="10">
        <v>375</v>
      </c>
      <c r="J39" s="10">
        <v>175</v>
      </c>
      <c r="K39" s="21"/>
      <c r="L39" s="19"/>
      <c r="M39" s="22">
        <f>C39-H39-I39+L39-K39-J39</f>
        <v>0</v>
      </c>
      <c r="N39" s="14">
        <f t="shared" si="0"/>
        <v>2950</v>
      </c>
      <c r="O39" s="5">
        <v>0.03</v>
      </c>
      <c r="P39" s="33">
        <f t="shared" si="1"/>
        <v>0</v>
      </c>
      <c r="Q39" s="33">
        <f t="shared" si="2"/>
        <v>0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3163</v>
      </c>
      <c r="I40" s="10">
        <v>0</v>
      </c>
      <c r="J40" s="10">
        <v>0</v>
      </c>
      <c r="K40" s="21">
        <v>212.14</v>
      </c>
      <c r="L40" s="19"/>
      <c r="M40" s="98">
        <f>C40-H40-I40+L40-K40-J40+0.14</f>
        <v>1.3655743202889425E-14</v>
      </c>
      <c r="N40" s="14">
        <f t="shared" si="0"/>
        <v>3163</v>
      </c>
      <c r="O40" s="5">
        <v>0.03</v>
      </c>
      <c r="P40" s="33">
        <f t="shared" si="1"/>
        <v>1.3655743202889426E-15</v>
      </c>
      <c r="Q40" s="33">
        <f t="shared" si="2"/>
        <v>1.4748202659120582E-15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3354.4</v>
      </c>
      <c r="I41" s="10">
        <v>375</v>
      </c>
      <c r="J41" s="10">
        <v>140</v>
      </c>
      <c r="K41" s="11"/>
      <c r="L41" s="19"/>
      <c r="M41" s="13">
        <f t="shared" si="6"/>
        <v>1130.5999999999999</v>
      </c>
      <c r="N41" s="14">
        <f t="shared" si="0"/>
        <v>4485</v>
      </c>
      <c r="O41" s="5">
        <v>0.03</v>
      </c>
      <c r="P41" s="33">
        <f t="shared" si="1"/>
        <v>113.06</v>
      </c>
      <c r="Q41" s="33">
        <f t="shared" si="2"/>
        <v>122.10480000000001</v>
      </c>
    </row>
    <row r="42" spans="1:17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2911.2</v>
      </c>
      <c r="I42" s="10">
        <v>225</v>
      </c>
      <c r="J42" s="10">
        <v>70</v>
      </c>
      <c r="K42" s="21">
        <v>293.92</v>
      </c>
      <c r="L42" s="19"/>
      <c r="M42" s="98">
        <f>C42-H42-I42+L42-K42-J42+0.12</f>
        <v>1.659783421814609E-13</v>
      </c>
      <c r="N42" s="14">
        <f t="shared" si="0"/>
        <v>2911.2</v>
      </c>
      <c r="O42" s="5" t="s">
        <v>118</v>
      </c>
      <c r="P42" s="33">
        <f t="shared" si="1"/>
        <v>1.659783421814609E-14</v>
      </c>
      <c r="Q42" s="33">
        <f t="shared" si="2"/>
        <v>1.7925660955597778E-14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3354.2</v>
      </c>
      <c r="I43" s="10">
        <v>0</v>
      </c>
      <c r="J43" s="10">
        <v>0</v>
      </c>
      <c r="K43" s="11"/>
      <c r="L43" s="19"/>
      <c r="M43" s="13">
        <f t="shared" si="6"/>
        <v>1645.8000000000002</v>
      </c>
      <c r="N43" s="14">
        <f t="shared" si="0"/>
        <v>5000</v>
      </c>
      <c r="O43" s="5" t="s">
        <v>119</v>
      </c>
      <c r="P43" s="33">
        <f t="shared" si="1"/>
        <v>164.58000000000004</v>
      </c>
      <c r="Q43" s="33">
        <f t="shared" si="2"/>
        <v>177.74640000000005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3354.2</v>
      </c>
      <c r="I44" s="10">
        <v>0</v>
      </c>
      <c r="J44" s="10">
        <v>0</v>
      </c>
      <c r="K44" s="11"/>
      <c r="L44" s="19"/>
      <c r="M44" s="13">
        <f t="shared" si="6"/>
        <v>5395.8</v>
      </c>
      <c r="N44" s="14">
        <f t="shared" si="0"/>
        <v>8750</v>
      </c>
      <c r="O44" s="5">
        <v>0.03</v>
      </c>
      <c r="P44" s="33">
        <f t="shared" si="1"/>
        <v>539.58000000000004</v>
      </c>
      <c r="Q44" s="33">
        <f t="shared" si="2"/>
        <v>582.74640000000011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3354.4</v>
      </c>
      <c r="I45" s="10">
        <v>0</v>
      </c>
      <c r="J45" s="10">
        <v>70</v>
      </c>
      <c r="K45" s="21"/>
      <c r="L45" s="19"/>
      <c r="M45" s="13">
        <f t="shared" si="6"/>
        <v>1575.6</v>
      </c>
      <c r="N45" s="14">
        <f t="shared" si="0"/>
        <v>4930</v>
      </c>
      <c r="O45" s="5">
        <v>0.03</v>
      </c>
      <c r="P45" s="33">
        <f t="shared" si="1"/>
        <v>157.56</v>
      </c>
      <c r="Q45" s="33">
        <f t="shared" si="2"/>
        <v>170.16480000000001</v>
      </c>
    </row>
    <row r="46" spans="1:17" s="55" customFormat="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3354.2</v>
      </c>
      <c r="I46" s="10">
        <v>0</v>
      </c>
      <c r="J46" s="10">
        <v>0</v>
      </c>
      <c r="K46" s="11"/>
      <c r="L46" s="19"/>
      <c r="M46" s="13">
        <f t="shared" si="6"/>
        <v>645.80000000000018</v>
      </c>
      <c r="N46" s="14">
        <f t="shared" si="0"/>
        <v>4000</v>
      </c>
      <c r="O46" s="5" t="s">
        <v>48</v>
      </c>
      <c r="P46" s="33">
        <f t="shared" si="1"/>
        <v>64.580000000000027</v>
      </c>
      <c r="Q46" s="33">
        <f t="shared" si="2"/>
        <v>69.746400000000037</v>
      </c>
    </row>
    <row r="47" spans="1:17" s="55" customFormat="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3354.2</v>
      </c>
      <c r="I47" s="10">
        <v>0</v>
      </c>
      <c r="J47" s="10">
        <v>0</v>
      </c>
      <c r="K47" s="21"/>
      <c r="L47" s="19"/>
      <c r="M47" s="13">
        <f>C47-H47-I47+L47-K47-J47</f>
        <v>645.80000000000018</v>
      </c>
      <c r="N47" s="14">
        <f t="shared" si="0"/>
        <v>4000</v>
      </c>
      <c r="O47" s="5" t="s">
        <v>48</v>
      </c>
      <c r="P47" s="33">
        <f t="shared" si="1"/>
        <v>64.580000000000027</v>
      </c>
      <c r="Q47" s="33">
        <f t="shared" si="2"/>
        <v>69.746400000000037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>
        <v>375</v>
      </c>
      <c r="J48" s="10">
        <v>0</v>
      </c>
      <c r="K48" s="11"/>
      <c r="L48" s="19">
        <v>273</v>
      </c>
      <c r="M48" s="13">
        <f t="shared" si="6"/>
        <v>543.59999999999991</v>
      </c>
      <c r="N48" s="14">
        <f t="shared" si="0"/>
        <v>3898</v>
      </c>
      <c r="O48" s="5" t="s">
        <v>118</v>
      </c>
      <c r="P48" s="33">
        <f t="shared" si="1"/>
        <v>54.359999999999992</v>
      </c>
      <c r="Q48" s="33">
        <f t="shared" si="2"/>
        <v>58.708799999999997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3354.4</v>
      </c>
      <c r="I49" s="10">
        <v>375</v>
      </c>
      <c r="J49" s="10">
        <v>140</v>
      </c>
      <c r="K49" s="21"/>
      <c r="L49" s="19"/>
      <c r="M49" s="13">
        <f t="shared" si="6"/>
        <v>1130.5999999999999</v>
      </c>
      <c r="N49" s="14">
        <f t="shared" si="0"/>
        <v>4485</v>
      </c>
      <c r="O49" s="5" t="s">
        <v>118</v>
      </c>
      <c r="P49" s="33">
        <f t="shared" si="1"/>
        <v>113.06</v>
      </c>
      <c r="Q49" s="33">
        <f t="shared" si="2"/>
        <v>122.10480000000001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3354.2</v>
      </c>
      <c r="I50" s="10">
        <v>0</v>
      </c>
      <c r="J50" s="10">
        <v>0</v>
      </c>
      <c r="K50" s="11"/>
      <c r="L50" s="19">
        <v>1662</v>
      </c>
      <c r="M50" s="13">
        <f t="shared" si="6"/>
        <v>1807.8000000000002</v>
      </c>
      <c r="N50" s="14">
        <f t="shared" si="0"/>
        <v>5162</v>
      </c>
      <c r="O50" s="5">
        <v>0.03</v>
      </c>
      <c r="P50" s="33">
        <f t="shared" si="1"/>
        <v>180.78000000000003</v>
      </c>
      <c r="Q50" s="33">
        <f t="shared" si="2"/>
        <v>195.24240000000003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3354.2</v>
      </c>
      <c r="I51" s="10">
        <v>0</v>
      </c>
      <c r="J51" s="10">
        <v>0</v>
      </c>
      <c r="K51" s="11"/>
      <c r="L51" s="19"/>
      <c r="M51" s="13">
        <f t="shared" si="6"/>
        <v>145.80000000000018</v>
      </c>
      <c r="N51" s="14">
        <f t="shared" si="0"/>
        <v>3500</v>
      </c>
      <c r="O51" s="5">
        <v>0.03</v>
      </c>
      <c r="P51" s="33">
        <f t="shared" si="1"/>
        <v>14.58000000000002</v>
      </c>
      <c r="Q51" s="33">
        <f t="shared" si="2"/>
        <v>15.746400000000023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75</v>
      </c>
      <c r="J52" s="10">
        <v>175</v>
      </c>
      <c r="K52" s="11"/>
      <c r="L52" s="19"/>
      <c r="M52" s="13">
        <f t="shared" si="6"/>
        <v>645.59999999999991</v>
      </c>
      <c r="N52" s="14">
        <f t="shared" si="0"/>
        <v>4000</v>
      </c>
      <c r="O52" s="5">
        <v>0.03</v>
      </c>
      <c r="P52" s="33">
        <f t="shared" si="1"/>
        <v>64.559999999999988</v>
      </c>
      <c r="Q52" s="33">
        <f t="shared" si="2"/>
        <v>69.724799999999988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3354.2</v>
      </c>
      <c r="I53" s="10">
        <v>375</v>
      </c>
      <c r="J53" s="10">
        <v>140</v>
      </c>
      <c r="K53" s="11"/>
      <c r="L53" s="12"/>
      <c r="M53" s="13">
        <f t="shared" si="6"/>
        <v>130.80000000000018</v>
      </c>
      <c r="N53" s="14">
        <f t="shared" si="0"/>
        <v>3485</v>
      </c>
      <c r="O53" s="5">
        <v>0.03</v>
      </c>
      <c r="P53" s="33">
        <f t="shared" si="1"/>
        <v>13.08000000000002</v>
      </c>
      <c r="Q53" s="33">
        <f t="shared" si="2"/>
        <v>14.126400000000022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3354.2</v>
      </c>
      <c r="I54" s="10">
        <v>375</v>
      </c>
      <c r="J54" s="10">
        <v>175</v>
      </c>
      <c r="K54" s="11"/>
      <c r="L54" s="12"/>
      <c r="M54" s="22">
        <f t="shared" ref="M54:M59" si="7">C54-H54-I54+L54-K54-J54+0.02</f>
        <v>95.820000000000178</v>
      </c>
      <c r="N54" s="14">
        <f t="shared" si="0"/>
        <v>3450.02</v>
      </c>
      <c r="O54" s="5">
        <v>0.03</v>
      </c>
      <c r="P54" s="33">
        <f t="shared" si="1"/>
        <v>9.5820000000000185</v>
      </c>
      <c r="Q54" s="33">
        <f t="shared" si="2"/>
        <v>10.34856000000002</v>
      </c>
    </row>
    <row r="55" spans="1:18" x14ac:dyDescent="0.25">
      <c r="A55" s="5">
        <v>295</v>
      </c>
      <c r="B55" s="6" t="s">
        <v>104</v>
      </c>
      <c r="C55" s="7">
        <v>5500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375</v>
      </c>
      <c r="J55" s="10">
        <v>175</v>
      </c>
      <c r="K55" s="11"/>
      <c r="L55" s="12"/>
      <c r="M55" s="22">
        <f t="shared" si="7"/>
        <v>1595.62</v>
      </c>
      <c r="N55" s="14">
        <f t="shared" si="0"/>
        <v>4950.0200000000004</v>
      </c>
      <c r="O55" s="5" t="s">
        <v>118</v>
      </c>
      <c r="P55" s="33">
        <f t="shared" si="1"/>
        <v>159.56200000000001</v>
      </c>
      <c r="Q55" s="33">
        <f t="shared" si="2"/>
        <v>172.32696000000001</v>
      </c>
    </row>
    <row r="56" spans="1:18" x14ac:dyDescent="0.25">
      <c r="A56" s="5">
        <v>297</v>
      </c>
      <c r="B56" s="6" t="s">
        <v>110</v>
      </c>
      <c r="C56" s="7">
        <v>4000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3354.2</v>
      </c>
      <c r="I56" s="10">
        <v>0</v>
      </c>
      <c r="J56" s="10">
        <v>0</v>
      </c>
      <c r="K56" s="11"/>
      <c r="L56" s="12"/>
      <c r="M56" s="22">
        <f t="shared" si="7"/>
        <v>645.82000000000016</v>
      </c>
      <c r="N56" s="14">
        <f t="shared" si="0"/>
        <v>4000.02</v>
      </c>
      <c r="O56" s="5" t="s">
        <v>50</v>
      </c>
      <c r="P56" s="33">
        <f t="shared" si="1"/>
        <v>64.582000000000022</v>
      </c>
      <c r="Q56" s="33">
        <f t="shared" si="2"/>
        <v>69.748560000000026</v>
      </c>
    </row>
    <row r="57" spans="1:18" x14ac:dyDescent="0.25">
      <c r="A57" s="5">
        <v>298</v>
      </c>
      <c r="B57" s="6" t="s">
        <v>115</v>
      </c>
      <c r="C57" s="7">
        <v>5000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1845.8</v>
      </c>
      <c r="I57" s="10">
        <v>225</v>
      </c>
      <c r="J57" s="10">
        <v>70</v>
      </c>
      <c r="K57" s="16">
        <v>1438.66</v>
      </c>
      <c r="L57" s="12">
        <v>5000</v>
      </c>
      <c r="M57" s="22">
        <f t="shared" si="7"/>
        <v>6420.56</v>
      </c>
      <c r="N57" s="14">
        <f t="shared" si="0"/>
        <v>8266.36</v>
      </c>
      <c r="O57" s="5">
        <v>0.03</v>
      </c>
      <c r="P57" s="33">
        <f t="shared" si="1"/>
        <v>642.05600000000004</v>
      </c>
      <c r="Q57" s="33">
        <f t="shared" si="2"/>
        <v>693.42048000000011</v>
      </c>
    </row>
    <row r="58" spans="1:18" x14ac:dyDescent="0.25">
      <c r="A58" s="5">
        <v>299</v>
      </c>
      <c r="B58" s="6" t="s">
        <v>116</v>
      </c>
      <c r="C58" s="7">
        <v>4000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3354.2</v>
      </c>
      <c r="I58" s="10">
        <v>375</v>
      </c>
      <c r="J58" s="10">
        <v>140</v>
      </c>
      <c r="K58" s="11"/>
      <c r="L58" s="12"/>
      <c r="M58" s="22">
        <f t="shared" si="7"/>
        <v>130.82000000000019</v>
      </c>
      <c r="N58" s="14">
        <f t="shared" si="0"/>
        <v>3485.02</v>
      </c>
      <c r="O58" s="5">
        <v>0.03</v>
      </c>
      <c r="P58" s="33">
        <f t="shared" si="1"/>
        <v>13.08200000000002</v>
      </c>
      <c r="Q58" s="33">
        <f t="shared" si="2"/>
        <v>14.128560000000023</v>
      </c>
    </row>
    <row r="59" spans="1:18" x14ac:dyDescent="0.25">
      <c r="A59" s="5">
        <v>300</v>
      </c>
      <c r="B59" s="6" t="s">
        <v>121</v>
      </c>
      <c r="C59" s="7">
        <v>6250</v>
      </c>
      <c r="D59" s="7">
        <v>419.88</v>
      </c>
      <c r="E59" s="8">
        <f t="shared" si="3"/>
        <v>2519.2799999999997</v>
      </c>
      <c r="F59" s="8">
        <f t="shared" si="4"/>
        <v>419.88</v>
      </c>
      <c r="G59" s="9">
        <f t="shared" si="5"/>
        <v>2939.16</v>
      </c>
      <c r="H59" s="37">
        <v>3354.4</v>
      </c>
      <c r="I59" s="10">
        <v>0</v>
      </c>
      <c r="J59" s="10">
        <v>0</v>
      </c>
      <c r="K59" s="11"/>
      <c r="L59" s="12"/>
      <c r="M59" s="22">
        <f t="shared" si="7"/>
        <v>2895.62</v>
      </c>
      <c r="N59" s="14">
        <f t="shared" si="0"/>
        <v>6250.02</v>
      </c>
      <c r="O59" s="5">
        <v>0.03</v>
      </c>
      <c r="P59" s="33">
        <f t="shared" si="1"/>
        <v>289.56200000000001</v>
      </c>
      <c r="Q59" s="33">
        <f t="shared" si="2"/>
        <v>312.72696000000002</v>
      </c>
    </row>
    <row r="60" spans="1:18" ht="16.149999999999999" customHeight="1" thickBot="1" x14ac:dyDescent="0.3"/>
    <row r="61" spans="1:18" ht="18" thickBot="1" x14ac:dyDescent="0.35">
      <c r="A61" s="23"/>
      <c r="B61" s="24"/>
      <c r="C61" s="25">
        <f>SUM(C4:C60)</f>
        <v>276375</v>
      </c>
      <c r="D61" s="25">
        <f t="shared" ref="D61:N61" si="8">SUM(D4:D60)</f>
        <v>23513.280000000002</v>
      </c>
      <c r="E61" s="25">
        <f t="shared" si="8"/>
        <v>138560.39999999997</v>
      </c>
      <c r="F61" s="25">
        <f t="shared" si="8"/>
        <v>23093.4</v>
      </c>
      <c r="G61" s="25">
        <f t="shared" si="8"/>
        <v>161653.80000000013</v>
      </c>
      <c r="H61" s="25">
        <f>SUM(H4:H60)</f>
        <v>213203.60000000003</v>
      </c>
      <c r="I61" s="26">
        <f t="shared" si="8"/>
        <v>10350</v>
      </c>
      <c r="J61" s="26">
        <f t="shared" si="8"/>
        <v>4410</v>
      </c>
      <c r="K61" s="26">
        <f t="shared" si="8"/>
        <v>9245.52</v>
      </c>
      <c r="L61" s="27">
        <f>SUM(L4:L60)</f>
        <v>88649.279999999999</v>
      </c>
      <c r="M61" s="25">
        <f>SUM(M4:M60)</f>
        <v>127815.54000000008</v>
      </c>
      <c r="N61" s="25">
        <f t="shared" si="8"/>
        <v>341019.14000000013</v>
      </c>
      <c r="P61" s="25">
        <f>SUM(P4:P60)</f>
        <v>12781.553999999998</v>
      </c>
      <c r="Q61" s="25">
        <f>SUM(Q4:Q60)</f>
        <v>13804.078319999997</v>
      </c>
      <c r="R61" s="55">
        <f>+N61+Q61</f>
        <v>354823.2183200001</v>
      </c>
    </row>
    <row r="62" spans="1:18" x14ac:dyDescent="0.25">
      <c r="I62" s="15">
        <f>I61/75</f>
        <v>138</v>
      </c>
      <c r="J62" s="15">
        <f>J61/35</f>
        <v>126</v>
      </c>
    </row>
  </sheetData>
  <autoFilter ref="A3:Q59" xr:uid="{00000000-0009-0000-0000-000019000000}"/>
  <mergeCells count="2">
    <mergeCell ref="A1:N1"/>
    <mergeCell ref="A2:N2"/>
  </mergeCells>
  <pageMargins left="0.25" right="0.25" top="0.75" bottom="0.75" header="0.3" footer="0.3"/>
  <pageSetup scale="54" fitToWidth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pageSetUpPr fitToPage="1"/>
  </sheetPr>
  <dimension ref="A1:R64"/>
  <sheetViews>
    <sheetView showGridLines="0" topLeftCell="A17" zoomScaleNormal="100" workbookViewId="0">
      <selection activeCell="I53" sqref="I53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76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4</v>
      </c>
      <c r="B4" s="6" t="s">
        <v>13</v>
      </c>
      <c r="C4" s="7">
        <v>7500</v>
      </c>
      <c r="D4" s="7">
        <v>419.88</v>
      </c>
      <c r="E4" s="8">
        <f>D4*6</f>
        <v>2519.2799999999997</v>
      </c>
      <c r="F4" s="8">
        <f>$D$4</f>
        <v>419.88</v>
      </c>
      <c r="G4" s="9">
        <f>E4+F4</f>
        <v>2939.16</v>
      </c>
      <c r="H4" s="37">
        <v>2883.2</v>
      </c>
      <c r="I4" s="10">
        <v>375</v>
      </c>
      <c r="J4" s="10">
        <v>35</v>
      </c>
      <c r="K4" s="16">
        <v>400.21</v>
      </c>
      <c r="L4" s="12"/>
      <c r="M4" s="13">
        <f>C4-H4-I4+L4-K4-J4</f>
        <v>3806.59</v>
      </c>
      <c r="N4" s="14">
        <f t="shared" ref="N4:N56" si="0">H4+M4</f>
        <v>6689.79</v>
      </c>
      <c r="O4" s="34" t="s">
        <v>48</v>
      </c>
      <c r="P4" s="33">
        <f t="shared" ref="P4:P56" si="1">+M4*0.1</f>
        <v>380.65900000000005</v>
      </c>
      <c r="Q4" s="33">
        <f t="shared" ref="Q4:Q56" si="2">+P4*1.08</f>
        <v>411.1117200000001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6" si="3">D5*6</f>
        <v>2519.2799999999997</v>
      </c>
      <c r="F5" s="8">
        <f>$D$4</f>
        <v>419.88</v>
      </c>
      <c r="G5" s="9">
        <f t="shared" ref="G5:G56" si="4">E5+F5</f>
        <v>2939.16</v>
      </c>
      <c r="H5" s="37">
        <v>3354.4</v>
      </c>
      <c r="I5" s="10">
        <v>300</v>
      </c>
      <c r="J5" s="10">
        <v>0</v>
      </c>
      <c r="K5" s="11"/>
      <c r="L5" s="12"/>
      <c r="M5" s="13">
        <f>C5-H5-I5+L5-K5-J5</f>
        <v>345.59999999999991</v>
      </c>
      <c r="N5" s="14">
        <f t="shared" si="0"/>
        <v>3700</v>
      </c>
      <c r="O5" s="29" t="s">
        <v>47</v>
      </c>
      <c r="P5" s="33">
        <f t="shared" si="1"/>
        <v>34.559999999999995</v>
      </c>
      <c r="Q5" s="33">
        <f t="shared" si="2"/>
        <v>37.324799999999996</v>
      </c>
    </row>
    <row r="6" spans="1:17" x14ac:dyDescent="0.25">
      <c r="A6" s="36">
        <v>14</v>
      </c>
      <c r="B6" s="6" t="s">
        <v>15</v>
      </c>
      <c r="C6" s="7">
        <v>8750</v>
      </c>
      <c r="D6" s="7">
        <v>419.88</v>
      </c>
      <c r="E6" s="8">
        <f t="shared" si="3"/>
        <v>2519.2799999999997</v>
      </c>
      <c r="F6" s="8">
        <f t="shared" ref="F6:F14" si="5">$D$4</f>
        <v>419.88</v>
      </c>
      <c r="G6" s="9">
        <f t="shared" si="4"/>
        <v>2939.16</v>
      </c>
      <c r="H6" s="38">
        <v>3354.4</v>
      </c>
      <c r="I6" s="18">
        <v>225</v>
      </c>
      <c r="J6" s="18">
        <v>140</v>
      </c>
      <c r="K6" s="11"/>
      <c r="L6" s="12"/>
      <c r="M6" s="13">
        <f t="shared" ref="M6:M56" si="6">C6-H6-I6+L6-K6-J6</f>
        <v>5030.6000000000004</v>
      </c>
      <c r="N6" s="14">
        <f t="shared" si="0"/>
        <v>8385</v>
      </c>
      <c r="O6" s="30" t="s">
        <v>47</v>
      </c>
      <c r="P6" s="33">
        <f t="shared" si="1"/>
        <v>503.06000000000006</v>
      </c>
      <c r="Q6" s="33">
        <f t="shared" si="2"/>
        <v>543.30480000000011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5"/>
        <v>419.88</v>
      </c>
      <c r="G7" s="9">
        <f t="shared" si="4"/>
        <v>2939.16</v>
      </c>
      <c r="H7" s="38">
        <v>3354.2</v>
      </c>
      <c r="I7" s="10">
        <v>75</v>
      </c>
      <c r="J7" s="10">
        <v>35</v>
      </c>
      <c r="K7" s="21"/>
      <c r="L7" s="12"/>
      <c r="M7" s="13">
        <f t="shared" si="6"/>
        <v>535.80000000000018</v>
      </c>
      <c r="N7" s="14">
        <f t="shared" si="0"/>
        <v>3890</v>
      </c>
      <c r="O7" s="36" t="s">
        <v>47</v>
      </c>
      <c r="P7" s="33">
        <f t="shared" si="1"/>
        <v>53.58000000000002</v>
      </c>
      <c r="Q7" s="33">
        <f t="shared" si="2"/>
        <v>57.866400000000027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5"/>
        <v>419.88</v>
      </c>
      <c r="G8" s="9">
        <f t="shared" si="4"/>
        <v>2939.16</v>
      </c>
      <c r="H8" s="37">
        <v>3920.6</v>
      </c>
      <c r="I8" s="10">
        <v>150</v>
      </c>
      <c r="J8" s="10">
        <v>35</v>
      </c>
      <c r="K8" s="11"/>
      <c r="L8" s="12">
        <v>482.14</v>
      </c>
      <c r="M8" s="13">
        <f t="shared" si="6"/>
        <v>876.54000000000008</v>
      </c>
      <c r="N8" s="14">
        <f t="shared" si="0"/>
        <v>4797.1400000000003</v>
      </c>
      <c r="O8" s="30" t="s">
        <v>47</v>
      </c>
      <c r="P8" s="33">
        <f t="shared" si="1"/>
        <v>87.654000000000011</v>
      </c>
      <c r="Q8" s="33">
        <f t="shared" si="2"/>
        <v>94.666320000000013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5"/>
        <v>419.88</v>
      </c>
      <c r="G9" s="9">
        <f t="shared" si="4"/>
        <v>2939.16</v>
      </c>
      <c r="H9" s="37">
        <v>2947.2</v>
      </c>
      <c r="I9" s="10">
        <v>225.06</v>
      </c>
      <c r="J9" s="10">
        <v>70</v>
      </c>
      <c r="K9" s="16">
        <f>500+257.74</f>
        <v>757.74</v>
      </c>
      <c r="L9" s="19"/>
      <c r="M9" s="13">
        <f>C9-H9-I9+L9-K9-J9</f>
        <v>2.2737367544323206E-13</v>
      </c>
      <c r="N9" s="14">
        <f t="shared" si="0"/>
        <v>2947.2</v>
      </c>
      <c r="O9" s="30" t="s">
        <v>47</v>
      </c>
      <c r="P9" s="33">
        <f t="shared" si="1"/>
        <v>2.2737367544323207E-14</v>
      </c>
      <c r="Q9" s="33">
        <f t="shared" si="2"/>
        <v>2.4556356947869065E-14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5"/>
        <v>419.88</v>
      </c>
      <c r="G10" s="9">
        <f t="shared" si="4"/>
        <v>2939.16</v>
      </c>
      <c r="H10" s="37">
        <v>3354.2</v>
      </c>
      <c r="I10" s="10">
        <v>0</v>
      </c>
      <c r="J10" s="10">
        <v>0</v>
      </c>
      <c r="K10" s="20"/>
      <c r="L10" s="19"/>
      <c r="M10" s="13">
        <f t="shared" si="6"/>
        <v>645.80000000000018</v>
      </c>
      <c r="N10" s="14">
        <f t="shared" si="0"/>
        <v>4000</v>
      </c>
      <c r="O10" s="30" t="s">
        <v>49</v>
      </c>
      <c r="P10" s="33">
        <f t="shared" si="1"/>
        <v>64.580000000000027</v>
      </c>
      <c r="Q10" s="33">
        <f t="shared" si="2"/>
        <v>69.746400000000037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5"/>
        <v>419.88</v>
      </c>
      <c r="G11" s="9">
        <f t="shared" si="4"/>
        <v>2939.16</v>
      </c>
      <c r="H11" s="37">
        <v>3354.4</v>
      </c>
      <c r="I11" s="10">
        <v>150</v>
      </c>
      <c r="J11" s="10">
        <v>70</v>
      </c>
      <c r="K11" s="11"/>
      <c r="L11" s="19">
        <v>365.25</v>
      </c>
      <c r="M11" s="13">
        <f>C11-H11-I11+L11-K11-J11</f>
        <v>3790.85</v>
      </c>
      <c r="N11" s="14">
        <f t="shared" si="0"/>
        <v>7145.25</v>
      </c>
      <c r="O11" s="30" t="s">
        <v>47</v>
      </c>
      <c r="P11" s="33">
        <f t="shared" si="1"/>
        <v>379.08500000000004</v>
      </c>
      <c r="Q11" s="33">
        <f t="shared" si="2"/>
        <v>409.41180000000008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5"/>
        <v>419.88</v>
      </c>
      <c r="G12" s="9">
        <f t="shared" si="4"/>
        <v>2939.16</v>
      </c>
      <c r="H12" s="37">
        <v>3120.4</v>
      </c>
      <c r="I12" s="10">
        <v>150</v>
      </c>
      <c r="J12" s="10">
        <v>35</v>
      </c>
      <c r="K12" s="21">
        <v>293.92</v>
      </c>
      <c r="L12" s="12"/>
      <c r="M12" s="13">
        <f>C12-H12-I12+L12-K12-J12</f>
        <v>1400.6799999999998</v>
      </c>
      <c r="N12" s="14">
        <f t="shared" si="0"/>
        <v>4521.08</v>
      </c>
      <c r="O12" s="30" t="s">
        <v>47</v>
      </c>
      <c r="P12" s="33">
        <f t="shared" si="1"/>
        <v>140.06799999999998</v>
      </c>
      <c r="Q12" s="33">
        <f t="shared" si="2"/>
        <v>151.27343999999999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5"/>
        <v>419.88</v>
      </c>
      <c r="G13" s="9">
        <f t="shared" si="4"/>
        <v>2939.16</v>
      </c>
      <c r="H13" s="37">
        <v>2950</v>
      </c>
      <c r="I13" s="10">
        <v>225</v>
      </c>
      <c r="J13" s="10">
        <v>105</v>
      </c>
      <c r="K13" s="21">
        <v>220</v>
      </c>
      <c r="L13" s="12"/>
      <c r="M13" s="13">
        <f>C13-H13-I13+L13-K13-J13</f>
        <v>0</v>
      </c>
      <c r="N13" s="14">
        <f t="shared" si="0"/>
        <v>2950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56">
        <v>149</v>
      </c>
      <c r="B14" s="57" t="s">
        <v>23</v>
      </c>
      <c r="C14" s="58">
        <v>3500</v>
      </c>
      <c r="D14" s="58">
        <v>419.88</v>
      </c>
      <c r="E14" s="59">
        <f t="shared" si="3"/>
        <v>2519.2799999999997</v>
      </c>
      <c r="F14" s="59">
        <f t="shared" si="5"/>
        <v>419.88</v>
      </c>
      <c r="G14" s="60">
        <f t="shared" si="4"/>
        <v>2939.16</v>
      </c>
      <c r="H14" s="61">
        <v>2571.8000000000002</v>
      </c>
      <c r="I14" s="62">
        <v>300</v>
      </c>
      <c r="J14" s="62">
        <v>35</v>
      </c>
      <c r="K14" s="63">
        <v>587.84</v>
      </c>
      <c r="L14" s="64"/>
      <c r="M14" s="65">
        <f>C14-H14-I14+L14-K14-J14</f>
        <v>5.3599999999997863</v>
      </c>
      <c r="N14" s="66">
        <f t="shared" si="0"/>
        <v>2577.16</v>
      </c>
      <c r="O14" s="67" t="s">
        <v>47</v>
      </c>
      <c r="P14" s="68">
        <f t="shared" si="1"/>
        <v>0.5359999999999786</v>
      </c>
      <c r="Q14" s="68">
        <f t="shared" si="2"/>
        <v>0.57887999999997697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ref="F15:F21" si="7">$D$4</f>
        <v>419.88</v>
      </c>
      <c r="G15" s="9">
        <f t="shared" si="4"/>
        <v>2939.16</v>
      </c>
      <c r="H15" s="37">
        <v>3354.4</v>
      </c>
      <c r="I15" s="10">
        <v>0</v>
      </c>
      <c r="J15" s="10">
        <v>0</v>
      </c>
      <c r="K15" s="22"/>
      <c r="L15" s="12"/>
      <c r="M15" s="13">
        <f t="shared" si="6"/>
        <v>645.59999999999991</v>
      </c>
      <c r="N15" s="14">
        <f t="shared" si="0"/>
        <v>4000</v>
      </c>
      <c r="O15" s="30" t="s">
        <v>47</v>
      </c>
      <c r="P15" s="33">
        <f t="shared" si="1"/>
        <v>64.559999999999988</v>
      </c>
      <c r="Q15" s="33">
        <f t="shared" si="2"/>
        <v>69.724799999999988</v>
      </c>
    </row>
    <row r="16" spans="1:17" x14ac:dyDescent="0.25">
      <c r="A16" s="5">
        <v>151</v>
      </c>
      <c r="B16" s="6" t="s">
        <v>25</v>
      </c>
      <c r="C16" s="7">
        <v>3500</v>
      </c>
      <c r="D16" s="7">
        <v>419.88</v>
      </c>
      <c r="E16" s="8">
        <f t="shared" si="3"/>
        <v>2519.2799999999997</v>
      </c>
      <c r="F16" s="8">
        <f t="shared" si="7"/>
        <v>419.88</v>
      </c>
      <c r="G16" s="9">
        <f t="shared" si="4"/>
        <v>2939.16</v>
      </c>
      <c r="H16" s="37">
        <v>2842</v>
      </c>
      <c r="I16" s="10">
        <v>0</v>
      </c>
      <c r="J16" s="10">
        <v>70.16</v>
      </c>
      <c r="K16" s="21">
        <v>587.84</v>
      </c>
      <c r="L16" s="12"/>
      <c r="M16" s="13">
        <f t="shared" si="6"/>
        <v>0</v>
      </c>
      <c r="N16" s="14">
        <f t="shared" si="0"/>
        <v>2842</v>
      </c>
      <c r="O16" s="29" t="s">
        <v>47</v>
      </c>
      <c r="P16" s="33">
        <f t="shared" si="1"/>
        <v>0</v>
      </c>
      <c r="Q16" s="33">
        <f t="shared" si="2"/>
        <v>0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7"/>
        <v>419.88</v>
      </c>
      <c r="G17" s="9">
        <f t="shared" si="4"/>
        <v>2939.16</v>
      </c>
      <c r="H17" s="37">
        <v>3354.4</v>
      </c>
      <c r="I17" s="10">
        <v>0</v>
      </c>
      <c r="J17" s="10">
        <v>0</v>
      </c>
      <c r="K17" s="21"/>
      <c r="L17" s="19"/>
      <c r="M17" s="13">
        <f t="shared" si="6"/>
        <v>645.59999999999991</v>
      </c>
      <c r="N17" s="14">
        <f t="shared" si="0"/>
        <v>4000</v>
      </c>
      <c r="O17" s="29" t="s">
        <v>47</v>
      </c>
      <c r="P17" s="33">
        <f t="shared" si="1"/>
        <v>64.559999999999988</v>
      </c>
      <c r="Q17" s="33">
        <f t="shared" si="2"/>
        <v>69.724799999999988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7"/>
        <v>419.88</v>
      </c>
      <c r="G18" s="9">
        <f t="shared" si="4"/>
        <v>2939.16</v>
      </c>
      <c r="H18" s="37">
        <v>3354.2</v>
      </c>
      <c r="I18" s="10">
        <v>375</v>
      </c>
      <c r="J18" s="10">
        <v>105</v>
      </c>
      <c r="K18" s="21"/>
      <c r="L18" s="12"/>
      <c r="M18" s="13">
        <f t="shared" si="6"/>
        <v>165.80000000000018</v>
      </c>
      <c r="N18" s="14">
        <f t="shared" si="0"/>
        <v>3520</v>
      </c>
      <c r="O18" s="29" t="s">
        <v>47</v>
      </c>
      <c r="P18" s="33">
        <f t="shared" si="1"/>
        <v>16.58000000000002</v>
      </c>
      <c r="Q18" s="33">
        <f t="shared" si="2"/>
        <v>17.906400000000023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7"/>
        <v>419.88</v>
      </c>
      <c r="G19" s="9">
        <f t="shared" si="4"/>
        <v>2939.16</v>
      </c>
      <c r="H19" s="37">
        <v>2345</v>
      </c>
      <c r="I19" s="10">
        <v>0</v>
      </c>
      <c r="J19" s="10">
        <v>0</v>
      </c>
      <c r="K19" s="16">
        <v>853.6</v>
      </c>
      <c r="L19" s="19"/>
      <c r="M19" s="13">
        <f t="shared" si="6"/>
        <v>6801.4</v>
      </c>
      <c r="N19" s="14">
        <f t="shared" si="0"/>
        <v>9146.4</v>
      </c>
      <c r="O19" s="29" t="s">
        <v>50</v>
      </c>
      <c r="P19" s="33">
        <f t="shared" si="1"/>
        <v>680.14</v>
      </c>
      <c r="Q19" s="33">
        <f t="shared" si="2"/>
        <v>734.55119999999999</v>
      </c>
    </row>
    <row r="20" spans="1:17" x14ac:dyDescent="0.25">
      <c r="A20" s="5">
        <v>184</v>
      </c>
      <c r="B20" s="6" t="s">
        <v>29</v>
      </c>
      <c r="C20" s="7">
        <v>7000</v>
      </c>
      <c r="D20" s="7">
        <v>419.88</v>
      </c>
      <c r="E20" s="8">
        <f t="shared" si="3"/>
        <v>2519.2799999999997</v>
      </c>
      <c r="F20" s="8">
        <f t="shared" si="7"/>
        <v>419.88</v>
      </c>
      <c r="G20" s="9">
        <f t="shared" si="4"/>
        <v>2939.16</v>
      </c>
      <c r="H20" s="37">
        <v>3354.2</v>
      </c>
      <c r="I20" s="10">
        <v>375</v>
      </c>
      <c r="J20" s="10">
        <v>140</v>
      </c>
      <c r="K20" s="21"/>
      <c r="L20" s="19"/>
      <c r="M20" s="13">
        <f t="shared" si="6"/>
        <v>3130.8</v>
      </c>
      <c r="N20" s="14">
        <f t="shared" si="0"/>
        <v>6485</v>
      </c>
      <c r="O20" s="29" t="s">
        <v>47</v>
      </c>
      <c r="P20" s="33">
        <f t="shared" si="1"/>
        <v>313.08000000000004</v>
      </c>
      <c r="Q20" s="33">
        <f t="shared" si="2"/>
        <v>338.12640000000005</v>
      </c>
    </row>
    <row r="21" spans="1:17" s="55" customFormat="1" x14ac:dyDescent="0.25">
      <c r="A21" s="5">
        <v>199</v>
      </c>
      <c r="B21" s="6" t="s">
        <v>31</v>
      </c>
      <c r="C21" s="7">
        <v>4000</v>
      </c>
      <c r="D21" s="7">
        <v>419.88</v>
      </c>
      <c r="E21" s="8">
        <f t="shared" si="3"/>
        <v>2519.2799999999997</v>
      </c>
      <c r="F21" s="8">
        <f t="shared" si="7"/>
        <v>419.88</v>
      </c>
      <c r="G21" s="9">
        <f t="shared" si="4"/>
        <v>2939.16</v>
      </c>
      <c r="H21" s="37">
        <v>3354.2</v>
      </c>
      <c r="I21" s="10">
        <v>0</v>
      </c>
      <c r="J21" s="10">
        <v>0</v>
      </c>
      <c r="K21" s="16">
        <v>500</v>
      </c>
      <c r="L21" s="19"/>
      <c r="M21" s="13">
        <f t="shared" si="6"/>
        <v>145.80000000000018</v>
      </c>
      <c r="N21" s="14">
        <f t="shared" si="0"/>
        <v>3500</v>
      </c>
      <c r="O21" s="29" t="s">
        <v>47</v>
      </c>
      <c r="P21" s="33">
        <f t="shared" si="1"/>
        <v>14.58000000000002</v>
      </c>
      <c r="Q21" s="33">
        <f t="shared" si="2"/>
        <v>15.746400000000023</v>
      </c>
    </row>
    <row r="22" spans="1:17" s="55" customFormat="1" x14ac:dyDescent="0.25">
      <c r="A22" s="42">
        <v>201</v>
      </c>
      <c r="B22" s="43" t="s">
        <v>32</v>
      </c>
      <c r="C22" s="44">
        <v>5000</v>
      </c>
      <c r="D22" s="44">
        <v>419.88</v>
      </c>
      <c r="E22" s="45">
        <f t="shared" si="3"/>
        <v>2519.2799999999997</v>
      </c>
      <c r="F22" s="45">
        <f t="shared" ref="F22:F38" si="8">$D$4</f>
        <v>419.88</v>
      </c>
      <c r="G22" s="46">
        <f t="shared" si="4"/>
        <v>2939.16</v>
      </c>
      <c r="H22" s="47">
        <v>14331.6</v>
      </c>
      <c r="I22" s="48">
        <v>0</v>
      </c>
      <c r="J22" s="48">
        <v>0</v>
      </c>
      <c r="K22" s="49"/>
      <c r="L22" s="50"/>
      <c r="M22" s="51"/>
      <c r="N22" s="52">
        <f t="shared" si="0"/>
        <v>14331.6</v>
      </c>
      <c r="O22" s="53" t="s">
        <v>47</v>
      </c>
      <c r="P22" s="54">
        <f t="shared" si="1"/>
        <v>0</v>
      </c>
      <c r="Q22" s="54">
        <f t="shared" si="2"/>
        <v>0</v>
      </c>
    </row>
    <row r="23" spans="1:17" s="55" customFormat="1" ht="13.5" customHeight="1" x14ac:dyDescent="0.25">
      <c r="A23" s="5">
        <v>204</v>
      </c>
      <c r="B23" s="6" t="s">
        <v>33</v>
      </c>
      <c r="C23" s="7">
        <v>4000</v>
      </c>
      <c r="D23" s="7">
        <v>419.88</v>
      </c>
      <c r="E23" s="8">
        <f t="shared" si="3"/>
        <v>2519.2799999999997</v>
      </c>
      <c r="F23" s="8">
        <f t="shared" si="8"/>
        <v>419.88</v>
      </c>
      <c r="G23" s="9">
        <f t="shared" si="4"/>
        <v>2939.16</v>
      </c>
      <c r="H23" s="37">
        <v>3354.4</v>
      </c>
      <c r="I23" s="10">
        <v>75</v>
      </c>
      <c r="J23" s="10">
        <v>105</v>
      </c>
      <c r="K23" s="11"/>
      <c r="L23" s="19"/>
      <c r="M23" s="13">
        <f t="shared" si="6"/>
        <v>465.59999999999991</v>
      </c>
      <c r="N23" s="14">
        <f t="shared" si="0"/>
        <v>3820</v>
      </c>
      <c r="O23" s="29" t="s">
        <v>47</v>
      </c>
      <c r="P23" s="33">
        <f t="shared" si="1"/>
        <v>46.559999999999995</v>
      </c>
      <c r="Q23" s="33">
        <f t="shared" si="2"/>
        <v>50.284799999999997</v>
      </c>
    </row>
    <row r="24" spans="1:17" s="55" customFormat="1" x14ac:dyDescent="0.25">
      <c r="A24" s="5">
        <v>213</v>
      </c>
      <c r="B24" s="6" t="s">
        <v>34</v>
      </c>
      <c r="C24" s="7">
        <v>3500</v>
      </c>
      <c r="D24" s="7">
        <v>419.88</v>
      </c>
      <c r="E24" s="8">
        <f t="shared" si="3"/>
        <v>2519.2799999999997</v>
      </c>
      <c r="F24" s="8">
        <f t="shared" si="8"/>
        <v>419.88</v>
      </c>
      <c r="G24" s="9">
        <f t="shared" si="4"/>
        <v>2939.16</v>
      </c>
      <c r="H24" s="37">
        <v>3079.2</v>
      </c>
      <c r="I24" s="10">
        <v>0</v>
      </c>
      <c r="J24" s="10">
        <v>0</v>
      </c>
      <c r="K24" s="16">
        <v>275.08999999999997</v>
      </c>
      <c r="L24" s="19"/>
      <c r="M24" s="13">
        <f t="shared" si="6"/>
        <v>145.71000000000021</v>
      </c>
      <c r="N24" s="14">
        <f t="shared" si="0"/>
        <v>3224.91</v>
      </c>
      <c r="O24" s="29" t="s">
        <v>50</v>
      </c>
      <c r="P24" s="33">
        <f t="shared" si="1"/>
        <v>14.571000000000021</v>
      </c>
      <c r="Q24" s="33">
        <f t="shared" si="2"/>
        <v>15.736680000000025</v>
      </c>
    </row>
    <row r="25" spans="1:17" s="55" customFormat="1" x14ac:dyDescent="0.25">
      <c r="A25" s="5">
        <v>215</v>
      </c>
      <c r="B25" s="6" t="s">
        <v>35</v>
      </c>
      <c r="C25" s="7">
        <v>5000</v>
      </c>
      <c r="D25" s="7">
        <v>419.88</v>
      </c>
      <c r="E25" s="8">
        <f t="shared" si="3"/>
        <v>2519.2799999999997</v>
      </c>
      <c r="F25" s="8">
        <f t="shared" si="8"/>
        <v>419.88</v>
      </c>
      <c r="G25" s="9">
        <f t="shared" si="4"/>
        <v>2939.16</v>
      </c>
      <c r="H25" s="37">
        <v>3354.2</v>
      </c>
      <c r="I25" s="10">
        <v>225</v>
      </c>
      <c r="J25" s="10">
        <v>35</v>
      </c>
      <c r="K25" s="21"/>
      <c r="L25" s="19"/>
      <c r="M25" s="13">
        <f t="shared" si="6"/>
        <v>1385.8000000000002</v>
      </c>
      <c r="N25" s="14">
        <f t="shared" si="0"/>
        <v>4740</v>
      </c>
      <c r="O25" s="29" t="s">
        <v>47</v>
      </c>
      <c r="P25" s="33">
        <f t="shared" si="1"/>
        <v>138.58000000000001</v>
      </c>
      <c r="Q25" s="33">
        <f t="shared" si="2"/>
        <v>149.66640000000001</v>
      </c>
    </row>
    <row r="26" spans="1:17" s="55" customFormat="1" x14ac:dyDescent="0.25">
      <c r="A26" s="5">
        <v>218</v>
      </c>
      <c r="B26" s="6" t="s">
        <v>36</v>
      </c>
      <c r="C26" s="7">
        <v>3500</v>
      </c>
      <c r="D26" s="7">
        <v>419.88</v>
      </c>
      <c r="E26" s="8">
        <f t="shared" si="3"/>
        <v>2519.2799999999997</v>
      </c>
      <c r="F26" s="8">
        <f t="shared" si="8"/>
        <v>419.88</v>
      </c>
      <c r="G26" s="9">
        <f t="shared" si="4"/>
        <v>2939.16</v>
      </c>
      <c r="H26" s="37">
        <v>3354.2</v>
      </c>
      <c r="I26" s="10">
        <v>0</v>
      </c>
      <c r="J26" s="10">
        <v>0</v>
      </c>
      <c r="K26" s="21"/>
      <c r="L26" s="12"/>
      <c r="M26" s="13">
        <f t="shared" si="6"/>
        <v>145.80000000000018</v>
      </c>
      <c r="N26" s="14">
        <f t="shared" si="0"/>
        <v>3500</v>
      </c>
      <c r="O26" s="29" t="s">
        <v>49</v>
      </c>
      <c r="P26" s="33">
        <f t="shared" si="1"/>
        <v>14.58000000000002</v>
      </c>
      <c r="Q26" s="33">
        <f t="shared" si="2"/>
        <v>15.746400000000023</v>
      </c>
    </row>
    <row r="27" spans="1:17" s="55" customFormat="1" x14ac:dyDescent="0.25">
      <c r="A27" s="56">
        <v>220</v>
      </c>
      <c r="B27" s="57" t="s">
        <v>37</v>
      </c>
      <c r="C27" s="58">
        <v>3500</v>
      </c>
      <c r="D27" s="58">
        <v>419.88</v>
      </c>
      <c r="E27" s="59">
        <f t="shared" si="3"/>
        <v>2519.2799999999997</v>
      </c>
      <c r="F27" s="59">
        <f t="shared" si="8"/>
        <v>419.88</v>
      </c>
      <c r="G27" s="60">
        <f t="shared" si="4"/>
        <v>2939.16</v>
      </c>
      <c r="H27" s="61">
        <v>2326.8000000000002</v>
      </c>
      <c r="I27" s="62">
        <v>375</v>
      </c>
      <c r="J27" s="62">
        <v>175</v>
      </c>
      <c r="K27" s="63">
        <v>587.84</v>
      </c>
      <c r="L27" s="64"/>
      <c r="M27" s="65">
        <f t="shared" si="6"/>
        <v>35.359999999999786</v>
      </c>
      <c r="N27" s="66">
        <f t="shared" si="0"/>
        <v>2362.16</v>
      </c>
      <c r="O27" s="67" t="s">
        <v>47</v>
      </c>
      <c r="P27" s="68">
        <f t="shared" si="1"/>
        <v>3.5359999999999787</v>
      </c>
      <c r="Q27" s="68">
        <f t="shared" si="2"/>
        <v>3.8188799999999774</v>
      </c>
    </row>
    <row r="28" spans="1:17" s="55" customFormat="1" x14ac:dyDescent="0.25">
      <c r="A28" s="5">
        <v>221</v>
      </c>
      <c r="B28" s="6" t="s">
        <v>38</v>
      </c>
      <c r="C28" s="7">
        <v>4000</v>
      </c>
      <c r="D28" s="7">
        <v>419.88</v>
      </c>
      <c r="E28" s="8">
        <f t="shared" si="3"/>
        <v>2519.2799999999997</v>
      </c>
      <c r="F28" s="8">
        <f t="shared" si="8"/>
        <v>419.88</v>
      </c>
      <c r="G28" s="9">
        <f t="shared" si="4"/>
        <v>2939.16</v>
      </c>
      <c r="H28" s="37">
        <v>3354.4</v>
      </c>
      <c r="I28" s="10">
        <v>375</v>
      </c>
      <c r="J28" s="10">
        <v>140</v>
      </c>
      <c r="K28" s="21"/>
      <c r="L28" s="39"/>
      <c r="M28" s="13">
        <f t="shared" si="6"/>
        <v>130.59999999999991</v>
      </c>
      <c r="N28" s="14">
        <f t="shared" si="0"/>
        <v>3485</v>
      </c>
      <c r="O28" s="29" t="s">
        <v>47</v>
      </c>
      <c r="P28" s="33">
        <f t="shared" si="1"/>
        <v>13.059999999999992</v>
      </c>
      <c r="Q28" s="33">
        <f t="shared" si="2"/>
        <v>14.104799999999992</v>
      </c>
    </row>
    <row r="29" spans="1:17" s="55" customFormat="1" x14ac:dyDescent="0.25">
      <c r="A29" s="5">
        <v>222</v>
      </c>
      <c r="B29" s="6" t="s">
        <v>39</v>
      </c>
      <c r="C29" s="7">
        <v>7000</v>
      </c>
      <c r="D29" s="7">
        <v>419.88</v>
      </c>
      <c r="E29" s="8">
        <f t="shared" si="3"/>
        <v>2519.2799999999997</v>
      </c>
      <c r="F29" s="8">
        <f t="shared" si="8"/>
        <v>419.88</v>
      </c>
      <c r="G29" s="9">
        <f t="shared" si="4"/>
        <v>2939.16</v>
      </c>
      <c r="H29" s="37">
        <v>3354.2</v>
      </c>
      <c r="I29" s="10">
        <v>300</v>
      </c>
      <c r="J29" s="10">
        <v>105</v>
      </c>
      <c r="K29" s="21"/>
      <c r="L29" s="19"/>
      <c r="M29" s="13">
        <f t="shared" si="6"/>
        <v>3240.8</v>
      </c>
      <c r="N29" s="14">
        <f t="shared" si="0"/>
        <v>6595</v>
      </c>
      <c r="O29" s="29" t="s">
        <v>47</v>
      </c>
      <c r="P29" s="33">
        <f t="shared" si="1"/>
        <v>324.08000000000004</v>
      </c>
      <c r="Q29" s="33">
        <f t="shared" si="2"/>
        <v>350.00640000000004</v>
      </c>
    </row>
    <row r="30" spans="1:17" s="55" customFormat="1" x14ac:dyDescent="0.25">
      <c r="A30" s="5">
        <v>226</v>
      </c>
      <c r="B30" s="6" t="s">
        <v>40</v>
      </c>
      <c r="C30" s="7">
        <v>7500</v>
      </c>
      <c r="D30" s="7">
        <v>419.88</v>
      </c>
      <c r="E30" s="8">
        <f t="shared" si="3"/>
        <v>2519.2799999999997</v>
      </c>
      <c r="F30" s="8">
        <f t="shared" si="8"/>
        <v>419.88</v>
      </c>
      <c r="G30" s="9">
        <f t="shared" si="4"/>
        <v>2939.16</v>
      </c>
      <c r="H30" s="37">
        <v>3354.2</v>
      </c>
      <c r="I30" s="10">
        <v>225</v>
      </c>
      <c r="J30" s="10">
        <v>140</v>
      </c>
      <c r="K30" s="21"/>
      <c r="L30" s="12"/>
      <c r="M30" s="13">
        <f t="shared" si="6"/>
        <v>3780.8</v>
      </c>
      <c r="N30" s="14">
        <f t="shared" si="0"/>
        <v>7135</v>
      </c>
      <c r="O30" s="29" t="s">
        <v>47</v>
      </c>
      <c r="P30" s="33">
        <f t="shared" si="1"/>
        <v>378.08000000000004</v>
      </c>
      <c r="Q30" s="33">
        <f t="shared" si="2"/>
        <v>408.32640000000009</v>
      </c>
    </row>
    <row r="31" spans="1:17" s="55" customFormat="1" x14ac:dyDescent="0.25">
      <c r="A31" s="5">
        <v>227</v>
      </c>
      <c r="B31" s="6" t="s">
        <v>41</v>
      </c>
      <c r="C31" s="7">
        <v>6000</v>
      </c>
      <c r="D31" s="7">
        <v>419.88</v>
      </c>
      <c r="E31" s="8">
        <f t="shared" si="3"/>
        <v>2519.2799999999997</v>
      </c>
      <c r="F31" s="8">
        <f t="shared" si="8"/>
        <v>419.88</v>
      </c>
      <c r="G31" s="9">
        <f t="shared" si="4"/>
        <v>2939.16</v>
      </c>
      <c r="H31" s="37">
        <v>3354.2</v>
      </c>
      <c r="I31" s="10">
        <v>150</v>
      </c>
      <c r="J31" s="10">
        <v>105</v>
      </c>
      <c r="K31" s="21"/>
      <c r="L31" s="12"/>
      <c r="M31" s="13">
        <f t="shared" si="6"/>
        <v>2390.8000000000002</v>
      </c>
      <c r="N31" s="14">
        <f t="shared" si="0"/>
        <v>5745</v>
      </c>
      <c r="O31" s="29" t="s">
        <v>47</v>
      </c>
      <c r="P31" s="33">
        <f t="shared" si="1"/>
        <v>239.08000000000004</v>
      </c>
      <c r="Q31" s="33">
        <f t="shared" si="2"/>
        <v>258.20640000000009</v>
      </c>
    </row>
    <row r="32" spans="1:17" s="55" customFormat="1" x14ac:dyDescent="0.25">
      <c r="A32" s="5">
        <v>233</v>
      </c>
      <c r="B32" s="6" t="s">
        <v>42</v>
      </c>
      <c r="C32" s="7">
        <v>6250</v>
      </c>
      <c r="D32" s="7">
        <v>419.88</v>
      </c>
      <c r="E32" s="8">
        <f t="shared" si="3"/>
        <v>2519.2799999999997</v>
      </c>
      <c r="F32" s="8">
        <f t="shared" si="8"/>
        <v>419.88</v>
      </c>
      <c r="G32" s="9">
        <f t="shared" si="4"/>
        <v>2939.16</v>
      </c>
      <c r="H32" s="37">
        <v>3354.4</v>
      </c>
      <c r="I32" s="10">
        <v>375</v>
      </c>
      <c r="J32" s="10">
        <v>35</v>
      </c>
      <c r="K32" s="21"/>
      <c r="L32" s="19"/>
      <c r="M32" s="13">
        <f t="shared" si="6"/>
        <v>2485.6</v>
      </c>
      <c r="N32" s="14">
        <f t="shared" si="0"/>
        <v>5840</v>
      </c>
      <c r="O32" s="31" t="s">
        <v>47</v>
      </c>
      <c r="P32" s="33">
        <f t="shared" si="1"/>
        <v>248.56</v>
      </c>
      <c r="Q32" s="33">
        <f t="shared" si="2"/>
        <v>268.44480000000004</v>
      </c>
    </row>
    <row r="33" spans="1:17" s="55" customFormat="1" x14ac:dyDescent="0.25">
      <c r="A33" s="5">
        <v>237</v>
      </c>
      <c r="B33" s="6" t="s">
        <v>43</v>
      </c>
      <c r="C33" s="7">
        <v>5000</v>
      </c>
      <c r="D33" s="7">
        <v>419.88</v>
      </c>
      <c r="E33" s="8">
        <f t="shared" si="3"/>
        <v>2519.2799999999997</v>
      </c>
      <c r="F33" s="8">
        <f t="shared" si="8"/>
        <v>419.88</v>
      </c>
      <c r="G33" s="9">
        <f t="shared" si="4"/>
        <v>2939.16</v>
      </c>
      <c r="H33" s="37">
        <v>3354.4</v>
      </c>
      <c r="I33" s="10">
        <v>225</v>
      </c>
      <c r="J33" s="10">
        <v>35</v>
      </c>
      <c r="K33" s="21"/>
      <c r="L33" s="19"/>
      <c r="M33" s="13">
        <f>C33-H33-I33+L33-K33-J33</f>
        <v>1385.6</v>
      </c>
      <c r="N33" s="14">
        <f>H33+M33</f>
        <v>4740</v>
      </c>
      <c r="O33" s="29" t="s">
        <v>47</v>
      </c>
      <c r="P33" s="33">
        <f>+M33*0.1</f>
        <v>138.56</v>
      </c>
      <c r="Q33" s="33">
        <f t="shared" si="2"/>
        <v>149.6448</v>
      </c>
    </row>
    <row r="34" spans="1:17" s="55" customFormat="1" x14ac:dyDescent="0.25">
      <c r="A34" s="5">
        <v>244</v>
      </c>
      <c r="B34" s="6" t="s">
        <v>44</v>
      </c>
      <c r="C34" s="7">
        <v>5000</v>
      </c>
      <c r="D34" s="7">
        <v>419.88</v>
      </c>
      <c r="E34" s="8">
        <f t="shared" si="3"/>
        <v>2519.2799999999997</v>
      </c>
      <c r="F34" s="8">
        <f t="shared" si="8"/>
        <v>419.88</v>
      </c>
      <c r="G34" s="9">
        <f t="shared" si="4"/>
        <v>2939.16</v>
      </c>
      <c r="H34" s="37">
        <v>3354.4</v>
      </c>
      <c r="I34" s="10">
        <v>0</v>
      </c>
      <c r="J34" s="10">
        <v>70</v>
      </c>
      <c r="K34" s="21"/>
      <c r="L34" s="12"/>
      <c r="M34" s="13">
        <f>C34-H34-I34+L34-K34-J34</f>
        <v>1575.6</v>
      </c>
      <c r="N34" s="14">
        <f t="shared" si="0"/>
        <v>4930</v>
      </c>
      <c r="O34" s="29" t="s">
        <v>47</v>
      </c>
      <c r="P34" s="33">
        <f t="shared" si="1"/>
        <v>157.56</v>
      </c>
      <c r="Q34" s="33">
        <f t="shared" si="2"/>
        <v>170.16480000000001</v>
      </c>
    </row>
    <row r="35" spans="1:17" s="55" customFormat="1" x14ac:dyDescent="0.25">
      <c r="A35" s="5">
        <v>245</v>
      </c>
      <c r="B35" s="6" t="s">
        <v>45</v>
      </c>
      <c r="C35" s="7">
        <v>5000</v>
      </c>
      <c r="D35" s="7">
        <v>419.88</v>
      </c>
      <c r="E35" s="8">
        <f t="shared" si="3"/>
        <v>2519.2799999999997</v>
      </c>
      <c r="F35" s="8">
        <f t="shared" si="8"/>
        <v>419.88</v>
      </c>
      <c r="G35" s="9">
        <f t="shared" si="4"/>
        <v>2939.16</v>
      </c>
      <c r="H35" s="37">
        <v>3354.4</v>
      </c>
      <c r="I35" s="10">
        <v>75</v>
      </c>
      <c r="J35" s="10">
        <v>0</v>
      </c>
      <c r="K35" s="21"/>
      <c r="L35" s="19"/>
      <c r="M35" s="13">
        <f t="shared" si="6"/>
        <v>1570.6</v>
      </c>
      <c r="N35" s="14">
        <f t="shared" si="0"/>
        <v>4925</v>
      </c>
      <c r="O35" s="34">
        <v>2</v>
      </c>
      <c r="P35" s="33">
        <f t="shared" si="1"/>
        <v>157.06</v>
      </c>
      <c r="Q35" s="33">
        <f t="shared" si="2"/>
        <v>169.62480000000002</v>
      </c>
    </row>
    <row r="36" spans="1:17" s="55" customFormat="1" x14ac:dyDescent="0.25">
      <c r="A36" s="5">
        <v>252</v>
      </c>
      <c r="B36" s="6" t="s">
        <v>53</v>
      </c>
      <c r="C36" s="7">
        <v>4000</v>
      </c>
      <c r="D36" s="7">
        <v>419.88</v>
      </c>
      <c r="E36" s="8">
        <f t="shared" si="3"/>
        <v>2519.2799999999997</v>
      </c>
      <c r="F36" s="8">
        <f t="shared" si="8"/>
        <v>419.88</v>
      </c>
      <c r="G36" s="9">
        <f t="shared" si="4"/>
        <v>2939.16</v>
      </c>
      <c r="H36" s="37">
        <v>3354.2</v>
      </c>
      <c r="I36" s="10">
        <v>225</v>
      </c>
      <c r="J36" s="10">
        <v>35</v>
      </c>
      <c r="K36" s="21"/>
      <c r="L36" s="19"/>
      <c r="M36" s="13">
        <f t="shared" si="6"/>
        <v>385.80000000000018</v>
      </c>
      <c r="N36" s="14">
        <f t="shared" si="0"/>
        <v>3740</v>
      </c>
      <c r="O36" s="5" t="s">
        <v>47</v>
      </c>
      <c r="P36" s="33">
        <f t="shared" si="1"/>
        <v>38.58000000000002</v>
      </c>
      <c r="Q36" s="33">
        <f t="shared" si="2"/>
        <v>41.666400000000024</v>
      </c>
    </row>
    <row r="37" spans="1:17" s="55" customFormat="1" x14ac:dyDescent="0.25">
      <c r="A37" s="5">
        <v>260</v>
      </c>
      <c r="B37" s="6" t="s">
        <v>54</v>
      </c>
      <c r="C37" s="7">
        <v>5000</v>
      </c>
      <c r="D37" s="7">
        <v>419.88</v>
      </c>
      <c r="E37" s="8">
        <f t="shared" si="3"/>
        <v>2519.2799999999997</v>
      </c>
      <c r="F37" s="8">
        <f t="shared" si="8"/>
        <v>419.88</v>
      </c>
      <c r="G37" s="9">
        <f t="shared" si="4"/>
        <v>2939.16</v>
      </c>
      <c r="H37" s="37">
        <v>3354.4</v>
      </c>
      <c r="I37" s="10">
        <v>0</v>
      </c>
      <c r="J37" s="10">
        <v>0</v>
      </c>
      <c r="K37" s="21"/>
      <c r="L37" s="19"/>
      <c r="M37" s="13">
        <f t="shared" si="6"/>
        <v>1645.6</v>
      </c>
      <c r="N37" s="14">
        <f t="shared" si="0"/>
        <v>5000</v>
      </c>
      <c r="O37" s="5" t="s">
        <v>47</v>
      </c>
      <c r="P37" s="33">
        <f t="shared" si="1"/>
        <v>164.56</v>
      </c>
      <c r="Q37" s="33">
        <f t="shared" si="2"/>
        <v>177.72480000000002</v>
      </c>
    </row>
    <row r="38" spans="1:17" s="55" customFormat="1" x14ac:dyDescent="0.25">
      <c r="A38" s="5">
        <v>261</v>
      </c>
      <c r="B38" s="6" t="s">
        <v>55</v>
      </c>
      <c r="C38" s="7">
        <v>4000</v>
      </c>
      <c r="D38" s="7">
        <v>419.88</v>
      </c>
      <c r="E38" s="8">
        <f t="shared" si="3"/>
        <v>2519.2799999999997</v>
      </c>
      <c r="F38" s="8">
        <f t="shared" si="8"/>
        <v>419.88</v>
      </c>
      <c r="G38" s="9">
        <f t="shared" si="4"/>
        <v>2939.16</v>
      </c>
      <c r="H38" s="37">
        <v>2339.6</v>
      </c>
      <c r="I38" s="10">
        <v>375</v>
      </c>
      <c r="J38" s="10">
        <v>70</v>
      </c>
      <c r="K38" s="16">
        <v>944.31</v>
      </c>
      <c r="L38" s="19"/>
      <c r="M38" s="13">
        <f t="shared" si="6"/>
        <v>271.09000000000015</v>
      </c>
      <c r="N38" s="14">
        <f t="shared" si="0"/>
        <v>2610.69</v>
      </c>
      <c r="O38" s="5" t="s">
        <v>47</v>
      </c>
      <c r="P38" s="33">
        <f t="shared" si="1"/>
        <v>27.109000000000016</v>
      </c>
      <c r="Q38" s="33">
        <f t="shared" si="2"/>
        <v>29.27772000000002</v>
      </c>
    </row>
    <row r="39" spans="1:17" s="55" customFormat="1" x14ac:dyDescent="0.25">
      <c r="A39" s="5">
        <v>267</v>
      </c>
      <c r="B39" s="6" t="s">
        <v>56</v>
      </c>
      <c r="C39" s="7">
        <v>5000</v>
      </c>
      <c r="D39" s="7">
        <v>419.88</v>
      </c>
      <c r="E39" s="8">
        <f t="shared" si="3"/>
        <v>2519.2799999999997</v>
      </c>
      <c r="F39" s="8">
        <f>$D$4</f>
        <v>419.88</v>
      </c>
      <c r="G39" s="9">
        <f t="shared" si="4"/>
        <v>2939.16</v>
      </c>
      <c r="H39" s="37">
        <v>2833.4</v>
      </c>
      <c r="I39" s="10">
        <v>375</v>
      </c>
      <c r="J39" s="10">
        <v>140</v>
      </c>
      <c r="K39" s="16">
        <v>450.66</v>
      </c>
      <c r="L39" s="19"/>
      <c r="M39" s="13">
        <f t="shared" si="6"/>
        <v>1200.9399999999998</v>
      </c>
      <c r="N39" s="14">
        <f t="shared" si="0"/>
        <v>4034.34</v>
      </c>
      <c r="O39" s="5" t="s">
        <v>47</v>
      </c>
      <c r="P39" s="33">
        <f t="shared" si="1"/>
        <v>120.09399999999999</v>
      </c>
      <c r="Q39" s="33">
        <f t="shared" si="2"/>
        <v>129.70152000000002</v>
      </c>
    </row>
    <row r="40" spans="1:17" s="55" customFormat="1" x14ac:dyDescent="0.25">
      <c r="A40" s="5">
        <v>268</v>
      </c>
      <c r="B40" s="6" t="s">
        <v>57</v>
      </c>
      <c r="C40" s="7">
        <v>4000</v>
      </c>
      <c r="D40" s="7">
        <v>419.88</v>
      </c>
      <c r="E40" s="8">
        <f t="shared" si="3"/>
        <v>2519.2799999999997</v>
      </c>
      <c r="F40" s="8">
        <f t="shared" ref="F40:F56" si="9">$D$4</f>
        <v>419.88</v>
      </c>
      <c r="G40" s="9">
        <f t="shared" si="4"/>
        <v>2939.16</v>
      </c>
      <c r="H40" s="37">
        <v>3354.4</v>
      </c>
      <c r="I40" s="10">
        <v>75</v>
      </c>
      <c r="J40" s="10">
        <v>0</v>
      </c>
      <c r="K40" s="11"/>
      <c r="L40" s="19"/>
      <c r="M40" s="13">
        <f t="shared" si="6"/>
        <v>570.59999999999991</v>
      </c>
      <c r="N40" s="14">
        <f t="shared" si="0"/>
        <v>3925</v>
      </c>
      <c r="O40" s="5" t="s">
        <v>47</v>
      </c>
      <c r="P40" s="33">
        <f t="shared" si="1"/>
        <v>57.059999999999995</v>
      </c>
      <c r="Q40" s="33">
        <f t="shared" si="2"/>
        <v>61.6248</v>
      </c>
    </row>
    <row r="41" spans="1:17" s="55" customFormat="1" x14ac:dyDescent="0.25">
      <c r="A41" s="5">
        <v>269</v>
      </c>
      <c r="B41" s="6" t="s">
        <v>58</v>
      </c>
      <c r="C41" s="7">
        <v>5000</v>
      </c>
      <c r="D41" s="7">
        <v>419.88</v>
      </c>
      <c r="E41" s="8">
        <f t="shared" si="3"/>
        <v>2519.2799999999997</v>
      </c>
      <c r="F41" s="8">
        <f t="shared" si="9"/>
        <v>419.88</v>
      </c>
      <c r="G41" s="9">
        <f t="shared" si="4"/>
        <v>2939.16</v>
      </c>
      <c r="H41" s="37">
        <v>3120.2</v>
      </c>
      <c r="I41" s="10">
        <v>300</v>
      </c>
      <c r="J41" s="10">
        <v>70</v>
      </c>
      <c r="K41" s="21">
        <v>293.92</v>
      </c>
      <c r="L41" s="19"/>
      <c r="M41" s="13">
        <f t="shared" si="6"/>
        <v>1215.8800000000001</v>
      </c>
      <c r="N41" s="14">
        <f t="shared" si="0"/>
        <v>4336.08</v>
      </c>
      <c r="O41" s="5" t="s">
        <v>47</v>
      </c>
      <c r="P41" s="33">
        <f t="shared" si="1"/>
        <v>121.58800000000002</v>
      </c>
      <c r="Q41" s="33">
        <f t="shared" si="2"/>
        <v>131.31504000000004</v>
      </c>
    </row>
    <row r="42" spans="1:17" s="55" customFormat="1" x14ac:dyDescent="0.25">
      <c r="A42" s="5">
        <v>271</v>
      </c>
      <c r="B42" s="6" t="s">
        <v>59</v>
      </c>
      <c r="C42" s="7">
        <v>3500</v>
      </c>
      <c r="D42" s="7">
        <v>419.88</v>
      </c>
      <c r="E42" s="8">
        <f t="shared" si="3"/>
        <v>2519.2799999999997</v>
      </c>
      <c r="F42" s="8">
        <f t="shared" si="9"/>
        <v>419.88</v>
      </c>
      <c r="G42" s="9">
        <f t="shared" si="4"/>
        <v>2939.16</v>
      </c>
      <c r="H42" s="37">
        <v>3130</v>
      </c>
      <c r="I42" s="10">
        <v>300</v>
      </c>
      <c r="J42" s="10">
        <v>70</v>
      </c>
      <c r="K42" s="21"/>
      <c r="L42" s="19"/>
      <c r="M42" s="13">
        <f t="shared" si="6"/>
        <v>0</v>
      </c>
      <c r="N42" s="14">
        <f t="shared" si="0"/>
        <v>3130</v>
      </c>
      <c r="O42" s="5" t="s">
        <v>47</v>
      </c>
      <c r="P42" s="33">
        <f t="shared" si="1"/>
        <v>0</v>
      </c>
      <c r="Q42" s="33">
        <f t="shared" si="2"/>
        <v>0</v>
      </c>
    </row>
    <row r="43" spans="1:17" s="55" customFormat="1" x14ac:dyDescent="0.25">
      <c r="A43" s="5">
        <v>275</v>
      </c>
      <c r="B43" s="6" t="s">
        <v>60</v>
      </c>
      <c r="C43" s="7">
        <v>5000</v>
      </c>
      <c r="D43" s="7">
        <v>419.88</v>
      </c>
      <c r="E43" s="8">
        <f t="shared" si="3"/>
        <v>2519.2799999999997</v>
      </c>
      <c r="F43" s="8">
        <f t="shared" si="9"/>
        <v>419.88</v>
      </c>
      <c r="G43" s="9">
        <f t="shared" si="4"/>
        <v>2939.16</v>
      </c>
      <c r="H43" s="37">
        <v>3354.2</v>
      </c>
      <c r="I43" s="10">
        <v>0</v>
      </c>
      <c r="J43" s="10">
        <v>0</v>
      </c>
      <c r="K43" s="21"/>
      <c r="L43" s="19"/>
      <c r="M43" s="13">
        <f t="shared" si="6"/>
        <v>1645.8000000000002</v>
      </c>
      <c r="N43" s="14">
        <f t="shared" si="0"/>
        <v>5000</v>
      </c>
      <c r="O43" s="5" t="s">
        <v>47</v>
      </c>
      <c r="P43" s="33">
        <f t="shared" si="1"/>
        <v>164.58000000000004</v>
      </c>
      <c r="Q43" s="33">
        <f t="shared" si="2"/>
        <v>177.74640000000005</v>
      </c>
    </row>
    <row r="44" spans="1:17" s="55" customFormat="1" x14ac:dyDescent="0.25">
      <c r="A44" s="5">
        <v>276</v>
      </c>
      <c r="B44" s="6" t="s">
        <v>61</v>
      </c>
      <c r="C44" s="7">
        <v>5000</v>
      </c>
      <c r="D44" s="7">
        <v>419.88</v>
      </c>
      <c r="E44" s="8">
        <f t="shared" si="3"/>
        <v>2519.2799999999997</v>
      </c>
      <c r="F44" s="8">
        <f t="shared" si="9"/>
        <v>419.88</v>
      </c>
      <c r="G44" s="9">
        <f t="shared" si="4"/>
        <v>2939.16</v>
      </c>
      <c r="H44" s="37">
        <v>3354.4</v>
      </c>
      <c r="I44" s="10">
        <v>375</v>
      </c>
      <c r="J44" s="10">
        <v>210</v>
      </c>
      <c r="K44" s="11"/>
      <c r="L44" s="19"/>
      <c r="M44" s="13">
        <f t="shared" si="6"/>
        <v>1060.5999999999999</v>
      </c>
      <c r="N44" s="14">
        <f t="shared" si="0"/>
        <v>4415</v>
      </c>
      <c r="O44" s="5" t="s">
        <v>47</v>
      </c>
      <c r="P44" s="33">
        <f t="shared" si="1"/>
        <v>106.06</v>
      </c>
      <c r="Q44" s="33">
        <f t="shared" si="2"/>
        <v>114.54480000000001</v>
      </c>
    </row>
    <row r="45" spans="1:17" s="55" customFormat="1" x14ac:dyDescent="0.25">
      <c r="A45" s="5">
        <v>278</v>
      </c>
      <c r="B45" s="6" t="s">
        <v>62</v>
      </c>
      <c r="C45" s="7">
        <v>5000</v>
      </c>
      <c r="D45" s="7">
        <v>419.88</v>
      </c>
      <c r="E45" s="8">
        <f t="shared" si="3"/>
        <v>2519.2799999999997</v>
      </c>
      <c r="F45" s="8">
        <f t="shared" si="9"/>
        <v>419.88</v>
      </c>
      <c r="G45" s="9">
        <f t="shared" si="4"/>
        <v>2939.16</v>
      </c>
      <c r="H45" s="37">
        <v>2879</v>
      </c>
      <c r="I45" s="10">
        <v>75</v>
      </c>
      <c r="J45" s="10">
        <v>35</v>
      </c>
      <c r="K45" s="21">
        <v>587.84</v>
      </c>
      <c r="L45" s="19"/>
      <c r="M45" s="13">
        <f t="shared" si="6"/>
        <v>1423.1599999999999</v>
      </c>
      <c r="N45" s="14">
        <f t="shared" si="0"/>
        <v>4302.16</v>
      </c>
      <c r="O45" s="5" t="s">
        <v>47</v>
      </c>
      <c r="P45" s="33">
        <f t="shared" si="1"/>
        <v>142.316</v>
      </c>
      <c r="Q45" s="33">
        <f t="shared" si="2"/>
        <v>153.70128000000003</v>
      </c>
    </row>
    <row r="46" spans="1:17" s="55" customFormat="1" x14ac:dyDescent="0.25">
      <c r="A46" s="5">
        <v>279</v>
      </c>
      <c r="B46" s="6" t="s">
        <v>63</v>
      </c>
      <c r="C46" s="7">
        <v>3500</v>
      </c>
      <c r="D46" s="7">
        <v>419.88</v>
      </c>
      <c r="E46" s="8">
        <f t="shared" si="3"/>
        <v>2519.2799999999997</v>
      </c>
      <c r="F46" s="8">
        <f t="shared" si="9"/>
        <v>419.88</v>
      </c>
      <c r="G46" s="9">
        <f t="shared" si="4"/>
        <v>2939.16</v>
      </c>
      <c r="H46" s="37">
        <v>3275</v>
      </c>
      <c r="I46" s="10">
        <v>225</v>
      </c>
      <c r="J46" s="10">
        <v>0</v>
      </c>
      <c r="K46" s="11"/>
      <c r="L46" s="19"/>
      <c r="M46" s="13">
        <f t="shared" si="6"/>
        <v>0</v>
      </c>
      <c r="N46" s="14">
        <f t="shared" si="0"/>
        <v>3275</v>
      </c>
      <c r="O46" s="5" t="s">
        <v>47</v>
      </c>
      <c r="P46" s="33">
        <f t="shared" si="1"/>
        <v>0</v>
      </c>
      <c r="Q46" s="33">
        <f t="shared" si="2"/>
        <v>0</v>
      </c>
    </row>
    <row r="47" spans="1:17" s="55" customFormat="1" x14ac:dyDescent="0.25">
      <c r="A47" s="5">
        <v>280</v>
      </c>
      <c r="B47" s="6" t="s">
        <v>64</v>
      </c>
      <c r="C47" s="7">
        <v>5000</v>
      </c>
      <c r="D47" s="7">
        <v>419.88</v>
      </c>
      <c r="E47" s="8">
        <f t="shared" si="3"/>
        <v>2519.2799999999997</v>
      </c>
      <c r="F47" s="8">
        <f t="shared" si="9"/>
        <v>419.88</v>
      </c>
      <c r="G47" s="9">
        <f t="shared" si="4"/>
        <v>2939.16</v>
      </c>
      <c r="H47" s="37">
        <v>3354.2</v>
      </c>
      <c r="I47" s="10">
        <v>0</v>
      </c>
      <c r="J47" s="10">
        <v>0</v>
      </c>
      <c r="K47" s="11"/>
      <c r="L47" s="19"/>
      <c r="M47" s="13">
        <f t="shared" si="6"/>
        <v>1645.8000000000002</v>
      </c>
      <c r="N47" s="14">
        <f t="shared" si="0"/>
        <v>5000</v>
      </c>
      <c r="O47" s="5" t="s">
        <v>47</v>
      </c>
      <c r="P47" s="33">
        <f t="shared" si="1"/>
        <v>164.58000000000004</v>
      </c>
      <c r="Q47" s="33">
        <f t="shared" si="2"/>
        <v>177.74640000000005</v>
      </c>
    </row>
    <row r="48" spans="1:17" x14ac:dyDescent="0.25">
      <c r="A48" s="5">
        <v>281</v>
      </c>
      <c r="B48" s="6" t="s">
        <v>65</v>
      </c>
      <c r="C48" s="7">
        <v>8750</v>
      </c>
      <c r="D48" s="7">
        <v>419.88</v>
      </c>
      <c r="E48" s="8">
        <f t="shared" si="3"/>
        <v>2519.2799999999997</v>
      </c>
      <c r="F48" s="8">
        <f t="shared" si="9"/>
        <v>419.88</v>
      </c>
      <c r="G48" s="9">
        <f t="shared" si="4"/>
        <v>2939.16</v>
      </c>
      <c r="H48" s="37">
        <v>3354.2</v>
      </c>
      <c r="I48" s="10">
        <v>0</v>
      </c>
      <c r="J48" s="10">
        <v>0</v>
      </c>
      <c r="K48" s="11"/>
      <c r="L48" s="19"/>
      <c r="M48" s="13">
        <f t="shared" si="6"/>
        <v>5395.8</v>
      </c>
      <c r="N48" s="14">
        <f t="shared" si="0"/>
        <v>8750</v>
      </c>
      <c r="O48" s="5" t="s">
        <v>47</v>
      </c>
      <c r="P48" s="33">
        <f t="shared" si="1"/>
        <v>539.58000000000004</v>
      </c>
      <c r="Q48" s="33">
        <f t="shared" si="2"/>
        <v>582.74640000000011</v>
      </c>
    </row>
    <row r="49" spans="1:18" x14ac:dyDescent="0.25">
      <c r="A49" s="5">
        <v>283</v>
      </c>
      <c r="B49" s="6" t="s">
        <v>66</v>
      </c>
      <c r="C49" s="7">
        <v>5000</v>
      </c>
      <c r="D49" s="7">
        <v>419.88</v>
      </c>
      <c r="E49" s="8">
        <f t="shared" si="3"/>
        <v>2519.2799999999997</v>
      </c>
      <c r="F49" s="8">
        <f t="shared" si="9"/>
        <v>419.88</v>
      </c>
      <c r="G49" s="9">
        <f t="shared" si="4"/>
        <v>2939.16</v>
      </c>
      <c r="H49" s="37">
        <v>3354.4</v>
      </c>
      <c r="I49" s="10">
        <v>0</v>
      </c>
      <c r="J49" s="10">
        <v>210</v>
      </c>
      <c r="K49" s="11"/>
      <c r="L49" s="19"/>
      <c r="M49" s="13">
        <f t="shared" si="6"/>
        <v>1435.6</v>
      </c>
      <c r="N49" s="14">
        <f t="shared" si="0"/>
        <v>4790</v>
      </c>
      <c r="O49" s="5" t="s">
        <v>47</v>
      </c>
      <c r="P49" s="33">
        <f t="shared" si="1"/>
        <v>143.56</v>
      </c>
      <c r="Q49" s="33">
        <f t="shared" si="2"/>
        <v>155.04480000000001</v>
      </c>
    </row>
    <row r="50" spans="1:18" x14ac:dyDescent="0.25">
      <c r="A50" s="5">
        <v>284</v>
      </c>
      <c r="B50" s="6" t="s">
        <v>67</v>
      </c>
      <c r="C50" s="7">
        <v>4000</v>
      </c>
      <c r="D50" s="7">
        <v>419.88</v>
      </c>
      <c r="E50" s="8">
        <f t="shared" si="3"/>
        <v>2519.2799999999997</v>
      </c>
      <c r="F50" s="8">
        <f t="shared" si="9"/>
        <v>419.88</v>
      </c>
      <c r="G50" s="9">
        <f t="shared" si="4"/>
        <v>2939.16</v>
      </c>
      <c r="H50" s="37">
        <v>3354.4</v>
      </c>
      <c r="I50" s="10">
        <v>0</v>
      </c>
      <c r="J50" s="10">
        <v>0</v>
      </c>
      <c r="K50" s="11"/>
      <c r="L50" s="19"/>
      <c r="M50" s="13">
        <f t="shared" si="6"/>
        <v>645.59999999999991</v>
      </c>
      <c r="N50" s="14">
        <f t="shared" si="0"/>
        <v>4000</v>
      </c>
      <c r="O50" s="5" t="s">
        <v>47</v>
      </c>
      <c r="P50" s="33">
        <f t="shared" si="1"/>
        <v>64.559999999999988</v>
      </c>
      <c r="Q50" s="33">
        <f t="shared" si="2"/>
        <v>69.724799999999988</v>
      </c>
    </row>
    <row r="51" spans="1:18" x14ac:dyDescent="0.25">
      <c r="A51" s="5">
        <v>285</v>
      </c>
      <c r="B51" s="6" t="s">
        <v>68</v>
      </c>
      <c r="C51" s="7">
        <v>4000</v>
      </c>
      <c r="D51" s="7">
        <v>419.88</v>
      </c>
      <c r="E51" s="8">
        <f t="shared" si="3"/>
        <v>2519.2799999999997</v>
      </c>
      <c r="F51" s="8">
        <f t="shared" si="9"/>
        <v>419.88</v>
      </c>
      <c r="G51" s="9">
        <f t="shared" si="4"/>
        <v>2939.16</v>
      </c>
      <c r="H51" s="37">
        <v>3354.4</v>
      </c>
      <c r="I51" s="10">
        <v>0</v>
      </c>
      <c r="J51" s="10">
        <v>0</v>
      </c>
      <c r="K51" s="11"/>
      <c r="L51" s="19"/>
      <c r="M51" s="13">
        <f t="shared" si="6"/>
        <v>645.59999999999991</v>
      </c>
      <c r="N51" s="14">
        <f t="shared" si="0"/>
        <v>4000</v>
      </c>
      <c r="O51" s="5" t="s">
        <v>47</v>
      </c>
      <c r="P51" s="33">
        <f t="shared" si="1"/>
        <v>64.559999999999988</v>
      </c>
      <c r="Q51" s="33">
        <f t="shared" si="2"/>
        <v>69.724799999999988</v>
      </c>
    </row>
    <row r="52" spans="1:18" x14ac:dyDescent="0.25">
      <c r="A52" s="5">
        <v>286</v>
      </c>
      <c r="B52" s="6" t="s">
        <v>69</v>
      </c>
      <c r="C52" s="7">
        <v>4000</v>
      </c>
      <c r="D52" s="7">
        <v>419.88</v>
      </c>
      <c r="E52" s="8">
        <f t="shared" si="3"/>
        <v>2519.2799999999997</v>
      </c>
      <c r="F52" s="8">
        <f t="shared" si="9"/>
        <v>419.88</v>
      </c>
      <c r="G52" s="9">
        <f t="shared" si="4"/>
        <v>2939.16</v>
      </c>
      <c r="H52" s="37">
        <v>3354.4</v>
      </c>
      <c r="I52" s="10">
        <v>375</v>
      </c>
      <c r="J52" s="10">
        <v>0</v>
      </c>
      <c r="K52" s="11"/>
      <c r="L52" s="19"/>
      <c r="M52" s="13">
        <f t="shared" si="6"/>
        <v>270.59999999999991</v>
      </c>
      <c r="N52" s="14">
        <f t="shared" si="0"/>
        <v>3625</v>
      </c>
      <c r="O52" s="5" t="s">
        <v>47</v>
      </c>
      <c r="P52" s="33">
        <f t="shared" si="1"/>
        <v>27.059999999999992</v>
      </c>
      <c r="Q52" s="33">
        <f t="shared" si="2"/>
        <v>29.224799999999991</v>
      </c>
    </row>
    <row r="53" spans="1:18" x14ac:dyDescent="0.25">
      <c r="A53" s="5">
        <v>287</v>
      </c>
      <c r="B53" s="6" t="s">
        <v>72</v>
      </c>
      <c r="C53" s="7">
        <v>5000</v>
      </c>
      <c r="D53" s="7">
        <v>419.88</v>
      </c>
      <c r="E53" s="8">
        <f t="shared" si="3"/>
        <v>2519.2799999999997</v>
      </c>
      <c r="F53" s="8">
        <f t="shared" si="9"/>
        <v>419.88</v>
      </c>
      <c r="G53" s="9">
        <f t="shared" si="4"/>
        <v>2939.16</v>
      </c>
      <c r="H53" s="37">
        <v>3354.2</v>
      </c>
      <c r="I53" s="10">
        <v>375</v>
      </c>
      <c r="J53" s="10">
        <v>140</v>
      </c>
      <c r="K53" s="11"/>
      <c r="L53" s="19"/>
      <c r="M53" s="13">
        <f t="shared" si="6"/>
        <v>1130.8000000000002</v>
      </c>
      <c r="N53" s="14">
        <f t="shared" si="0"/>
        <v>4485</v>
      </c>
      <c r="O53" s="5" t="s">
        <v>47</v>
      </c>
      <c r="P53" s="33">
        <f t="shared" si="1"/>
        <v>113.08000000000003</v>
      </c>
      <c r="Q53" s="33">
        <f t="shared" si="2"/>
        <v>122.12640000000003</v>
      </c>
    </row>
    <row r="54" spans="1:18" x14ac:dyDescent="0.25">
      <c r="A54" s="5">
        <v>288</v>
      </c>
      <c r="B54" s="6" t="s">
        <v>73</v>
      </c>
      <c r="C54" s="7">
        <v>3500</v>
      </c>
      <c r="D54" s="7">
        <v>419.88</v>
      </c>
      <c r="E54" s="8">
        <f t="shared" si="3"/>
        <v>2519.2799999999997</v>
      </c>
      <c r="F54" s="8">
        <f t="shared" si="9"/>
        <v>419.88</v>
      </c>
      <c r="G54" s="9">
        <f t="shared" si="4"/>
        <v>2939.16</v>
      </c>
      <c r="H54" s="37">
        <v>3354.2</v>
      </c>
      <c r="I54" s="10">
        <v>0</v>
      </c>
      <c r="J54" s="10">
        <v>0</v>
      </c>
      <c r="K54" s="11"/>
      <c r="L54" s="19"/>
      <c r="M54" s="13">
        <f t="shared" si="6"/>
        <v>145.80000000000018</v>
      </c>
      <c r="N54" s="14">
        <f t="shared" si="0"/>
        <v>3500</v>
      </c>
      <c r="O54" s="5" t="s">
        <v>47</v>
      </c>
      <c r="P54" s="33">
        <f t="shared" si="1"/>
        <v>14.58000000000002</v>
      </c>
      <c r="Q54" s="33">
        <f t="shared" si="2"/>
        <v>15.746400000000023</v>
      </c>
    </row>
    <row r="55" spans="1:18" x14ac:dyDescent="0.25">
      <c r="A55" s="5">
        <v>289</v>
      </c>
      <c r="B55" s="6" t="s">
        <v>74</v>
      </c>
      <c r="C55" s="7">
        <v>3500</v>
      </c>
      <c r="D55" s="7">
        <v>419.88</v>
      </c>
      <c r="E55" s="8">
        <f t="shared" si="3"/>
        <v>2519.2799999999997</v>
      </c>
      <c r="F55" s="8">
        <f t="shared" si="9"/>
        <v>419.88</v>
      </c>
      <c r="G55" s="9">
        <f t="shared" si="4"/>
        <v>2939.16</v>
      </c>
      <c r="H55" s="37">
        <v>3354.2</v>
      </c>
      <c r="I55" s="10">
        <v>0</v>
      </c>
      <c r="J55" s="10">
        <v>0</v>
      </c>
      <c r="K55" s="11"/>
      <c r="L55" s="19"/>
      <c r="M55" s="13">
        <f t="shared" si="6"/>
        <v>145.80000000000018</v>
      </c>
      <c r="N55" s="14">
        <f t="shared" si="0"/>
        <v>3500</v>
      </c>
      <c r="O55" s="5" t="s">
        <v>47</v>
      </c>
      <c r="P55" s="33">
        <f t="shared" si="1"/>
        <v>14.58000000000002</v>
      </c>
      <c r="Q55" s="33">
        <f t="shared" si="2"/>
        <v>15.746400000000023</v>
      </c>
    </row>
    <row r="56" spans="1:18" x14ac:dyDescent="0.25">
      <c r="A56" s="5">
        <v>290</v>
      </c>
      <c r="B56" s="6" t="s">
        <v>75</v>
      </c>
      <c r="C56" s="7">
        <v>6250</v>
      </c>
      <c r="D56" s="7">
        <v>419.88</v>
      </c>
      <c r="E56" s="8">
        <f t="shared" si="3"/>
        <v>2519.2799999999997</v>
      </c>
      <c r="F56" s="8">
        <f t="shared" si="9"/>
        <v>419.88</v>
      </c>
      <c r="G56" s="9">
        <f t="shared" si="4"/>
        <v>2939.16</v>
      </c>
      <c r="H56" s="37">
        <v>3354.4</v>
      </c>
      <c r="I56" s="10">
        <v>0</v>
      </c>
      <c r="J56" s="10">
        <v>0</v>
      </c>
      <c r="K56" s="11"/>
      <c r="L56" s="19"/>
      <c r="M56" s="13">
        <f t="shared" si="6"/>
        <v>2895.6</v>
      </c>
      <c r="N56" s="14">
        <f t="shared" si="0"/>
        <v>6250</v>
      </c>
      <c r="O56" s="5" t="s">
        <v>47</v>
      </c>
      <c r="P56" s="33">
        <f t="shared" si="1"/>
        <v>289.56</v>
      </c>
      <c r="Q56" s="33">
        <f t="shared" si="2"/>
        <v>312.72480000000002</v>
      </c>
    </row>
    <row r="57" spans="1:18" ht="16.149999999999999" customHeight="1" thickBot="1" x14ac:dyDescent="0.3"/>
    <row r="58" spans="1:18" ht="18" thickBot="1" x14ac:dyDescent="0.35">
      <c r="A58" s="23"/>
      <c r="B58" s="24"/>
      <c r="C58" s="25">
        <f t="shared" ref="C58:N58" si="10">SUM(C4:C57)</f>
        <v>260500</v>
      </c>
      <c r="D58" s="25">
        <f t="shared" si="10"/>
        <v>22253.64</v>
      </c>
      <c r="E58" s="25">
        <f t="shared" si="10"/>
        <v>133521.83999999997</v>
      </c>
      <c r="F58" s="25">
        <f t="shared" si="10"/>
        <v>22253.64</v>
      </c>
      <c r="G58" s="25">
        <f t="shared" si="10"/>
        <v>155775.48000000013</v>
      </c>
      <c r="H58" s="25">
        <f>SUM(H4:H57)</f>
        <v>181649.99999999997</v>
      </c>
      <c r="I58" s="26">
        <f t="shared" si="10"/>
        <v>8400.06</v>
      </c>
      <c r="J58" s="26">
        <f t="shared" si="10"/>
        <v>2800.16</v>
      </c>
      <c r="K58" s="26">
        <f t="shared" si="10"/>
        <v>7340.8099999999995</v>
      </c>
      <c r="L58" s="27">
        <f t="shared" si="10"/>
        <v>847.39</v>
      </c>
      <c r="M58" s="25">
        <f>SUM(M4:M57)</f>
        <v>70487.960000000021</v>
      </c>
      <c r="N58" s="25">
        <f t="shared" si="10"/>
        <v>252137.96</v>
      </c>
      <c r="P58" s="25">
        <f>SUM(P4:P57)</f>
        <v>7048.796000000003</v>
      </c>
      <c r="Q58" s="25">
        <f>SUM(Q4:Q57)</f>
        <v>7612.6996799999997</v>
      </c>
      <c r="R58" s="55">
        <f>+N58+Q58</f>
        <v>259750.65967999998</v>
      </c>
    </row>
    <row r="59" spans="1:18" x14ac:dyDescent="0.25">
      <c r="H59" s="15"/>
      <c r="M59" s="15"/>
    </row>
    <row r="60" spans="1:18" x14ac:dyDescent="0.25">
      <c r="H60" s="15"/>
      <c r="I60">
        <f>+I58/75</f>
        <v>112.0008</v>
      </c>
      <c r="J60" s="28">
        <f>SUM(J58)/35</f>
        <v>80.004571428571424</v>
      </c>
      <c r="R60" s="55">
        <v>12886.8</v>
      </c>
    </row>
    <row r="61" spans="1:18" x14ac:dyDescent="0.25">
      <c r="F61" s="15"/>
      <c r="H61" s="15">
        <f>H58+M58</f>
        <v>252137.96</v>
      </c>
      <c r="K61" s="15"/>
    </row>
    <row r="62" spans="1:18" x14ac:dyDescent="0.25">
      <c r="H62" s="15">
        <f>'[1]Nom 9'!$H$53</f>
        <v>131178.05999999994</v>
      </c>
      <c r="I62" s="40"/>
      <c r="J62" s="15"/>
    </row>
    <row r="63" spans="1:18" x14ac:dyDescent="0.25">
      <c r="H63" s="15">
        <f>[2]Rino!$H$8</f>
        <v>75398.810000000012</v>
      </c>
    </row>
    <row r="64" spans="1:18" x14ac:dyDescent="0.25">
      <c r="H64" s="15">
        <f>H62+H63</f>
        <v>206576.86999999994</v>
      </c>
    </row>
  </sheetData>
  <autoFilter ref="A3:Q56" xr:uid="{00000000-0009-0000-0000-000002000000}"/>
  <mergeCells count="2">
    <mergeCell ref="A1:N1"/>
    <mergeCell ref="A2:N2"/>
  </mergeCells>
  <pageMargins left="0.25" right="0.25" top="0.75" bottom="0.75" header="0.3" footer="0.3"/>
  <pageSetup scale="51" orientation="landscape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4A798-DF14-4CE3-BBB0-BA42AEC4969E}">
  <sheetPr codeName="Hoja30">
    <pageSetUpPr fitToPage="1"/>
  </sheetPr>
  <dimension ref="A1:R63"/>
  <sheetViews>
    <sheetView showGridLines="0" topLeftCell="C1" zoomScaleNormal="100" workbookViewId="0">
      <selection activeCell="K25" sqref="K25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125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60" si="0">H4+M4</f>
        <v>0</v>
      </c>
      <c r="O4" s="81" t="s">
        <v>48</v>
      </c>
      <c r="P4" s="82">
        <f t="shared" ref="P4:P60" si="1">+M4*0.1</f>
        <v>0</v>
      </c>
      <c r="Q4" s="82">
        <f t="shared" ref="Q4:Q60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0" si="3">D5*6</f>
        <v>2519.2799999999997</v>
      </c>
      <c r="F5" s="8">
        <f t="shared" ref="F5:F60" si="4">$D$4</f>
        <v>419.88</v>
      </c>
      <c r="G5" s="9">
        <f t="shared" ref="G5:G60" si="5">E5+F5</f>
        <v>2939.16</v>
      </c>
      <c r="H5" s="37">
        <v>3354.4</v>
      </c>
      <c r="I5" s="10">
        <v>375</v>
      </c>
      <c r="J5" s="10">
        <v>0</v>
      </c>
      <c r="K5" s="11"/>
      <c r="L5" s="19"/>
      <c r="M5" s="13">
        <f>C5-H5-I5+L5-K5-J5</f>
        <v>270.59999999999991</v>
      </c>
      <c r="N5" s="14">
        <f t="shared" si="0"/>
        <v>3625</v>
      </c>
      <c r="O5" s="29" t="s">
        <v>47</v>
      </c>
      <c r="P5" s="33">
        <f t="shared" si="1"/>
        <v>27.059999999999992</v>
      </c>
      <c r="Q5" s="33">
        <f t="shared" si="2"/>
        <v>29.224799999999991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3457.8</v>
      </c>
      <c r="I6" s="18">
        <v>225</v>
      </c>
      <c r="J6" s="18">
        <v>70</v>
      </c>
      <c r="K6" s="21"/>
      <c r="L6" s="19">
        <v>2678.57</v>
      </c>
      <c r="M6" s="13">
        <f t="shared" ref="M6:M53" si="6">C6-H6-I6+L6-K6-J6</f>
        <v>13925.77</v>
      </c>
      <c r="N6" s="14">
        <f>H6+M6</f>
        <v>17383.57</v>
      </c>
      <c r="O6" s="30" t="s">
        <v>118</v>
      </c>
      <c r="P6" s="33">
        <f t="shared" si="1"/>
        <v>1392.5770000000002</v>
      </c>
      <c r="Q6" s="33">
        <f t="shared" si="2"/>
        <v>1503.9831600000005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3354.4</v>
      </c>
      <c r="I7" s="10">
        <v>375</v>
      </c>
      <c r="J7" s="10">
        <v>70</v>
      </c>
      <c r="K7" s="21"/>
      <c r="L7" s="19"/>
      <c r="M7" s="13">
        <f t="shared" si="6"/>
        <v>1200.5999999999999</v>
      </c>
      <c r="N7" s="14">
        <f t="shared" si="0"/>
        <v>4555</v>
      </c>
      <c r="O7" s="36" t="s">
        <v>118</v>
      </c>
      <c r="P7" s="33">
        <f t="shared" si="1"/>
        <v>120.06</v>
      </c>
      <c r="Q7" s="33">
        <f t="shared" si="2"/>
        <v>129.66480000000001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3354.2</v>
      </c>
      <c r="I8" s="10">
        <v>375</v>
      </c>
      <c r="J8" s="10">
        <v>70</v>
      </c>
      <c r="K8" s="11"/>
      <c r="L8" s="12"/>
      <c r="M8" s="13">
        <f t="shared" si="6"/>
        <v>700.80000000000018</v>
      </c>
      <c r="N8" s="14">
        <f t="shared" si="0"/>
        <v>4055</v>
      </c>
      <c r="O8" s="30" t="s">
        <v>118</v>
      </c>
      <c r="P8" s="33">
        <f t="shared" si="1"/>
        <v>70.080000000000027</v>
      </c>
      <c r="Q8" s="33">
        <f t="shared" si="2"/>
        <v>75.686400000000035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3354.4</v>
      </c>
      <c r="I9" s="10">
        <v>225</v>
      </c>
      <c r="J9" s="10">
        <v>140</v>
      </c>
      <c r="K9" s="21"/>
      <c r="L9" s="12"/>
      <c r="M9" s="22">
        <f>C9-H9-I9+L9-K9-J9</f>
        <v>280.59999999999991</v>
      </c>
      <c r="N9" s="14">
        <f t="shared" si="0"/>
        <v>3635</v>
      </c>
      <c r="O9" s="30" t="s">
        <v>47</v>
      </c>
      <c r="P9" s="33">
        <f t="shared" si="1"/>
        <v>28.059999999999992</v>
      </c>
      <c r="Q9" s="33">
        <f t="shared" si="2"/>
        <v>30.304799999999993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2567.6</v>
      </c>
      <c r="I10" s="10">
        <v>0</v>
      </c>
      <c r="J10" s="10">
        <v>0</v>
      </c>
      <c r="K10" s="20"/>
      <c r="L10" s="19"/>
      <c r="M10" s="13">
        <f t="shared" si="6"/>
        <v>1432.4</v>
      </c>
      <c r="N10" s="14">
        <f t="shared" si="0"/>
        <v>4000</v>
      </c>
      <c r="O10" s="30" t="s">
        <v>49</v>
      </c>
      <c r="P10" s="33">
        <f t="shared" si="1"/>
        <v>143.24</v>
      </c>
      <c r="Q10" s="33">
        <f t="shared" si="2"/>
        <v>154.69920000000002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75</v>
      </c>
      <c r="J11" s="10">
        <v>35</v>
      </c>
      <c r="K11" s="11"/>
      <c r="L11" s="12"/>
      <c r="M11" s="13">
        <f>C11-H11-I11+L11-K11-J11</f>
        <v>3535.6</v>
      </c>
      <c r="N11" s="14">
        <f t="shared" si="0"/>
        <v>6890</v>
      </c>
      <c r="O11" s="30" t="s">
        <v>118</v>
      </c>
      <c r="P11" s="33">
        <f t="shared" si="1"/>
        <v>353.56</v>
      </c>
      <c r="Q11" s="33">
        <f t="shared" si="2"/>
        <v>381.84480000000002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3354.4</v>
      </c>
      <c r="I12" s="10">
        <v>0</v>
      </c>
      <c r="J12" s="10">
        <v>105</v>
      </c>
      <c r="K12" s="11"/>
      <c r="L12" s="19"/>
      <c r="M12" s="13">
        <f>C12-H12-I12+L12-K12-J12</f>
        <v>1540.6</v>
      </c>
      <c r="N12" s="14">
        <f t="shared" si="0"/>
        <v>4895</v>
      </c>
      <c r="O12" s="30">
        <v>0.03</v>
      </c>
      <c r="P12" s="33">
        <f t="shared" si="1"/>
        <v>154.06</v>
      </c>
      <c r="Q12" s="33">
        <f t="shared" si="2"/>
        <v>166.38480000000001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3354.2</v>
      </c>
      <c r="I13" s="10">
        <v>225</v>
      </c>
      <c r="J13" s="10">
        <v>70</v>
      </c>
      <c r="K13" s="21"/>
      <c r="L13" s="19">
        <v>995</v>
      </c>
      <c r="M13" s="13">
        <f>C13-H13-I13+L13-K13-J13</f>
        <v>845.80000000000018</v>
      </c>
      <c r="N13" s="14">
        <f t="shared" si="0"/>
        <v>4200</v>
      </c>
      <c r="O13" s="30">
        <v>0.03</v>
      </c>
      <c r="P13" s="33">
        <f t="shared" si="1"/>
        <v>84.580000000000027</v>
      </c>
      <c r="Q13" s="33">
        <f t="shared" si="2"/>
        <v>91.346400000000031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3354.4</v>
      </c>
      <c r="I14" s="10">
        <v>150</v>
      </c>
      <c r="J14" s="10">
        <v>175</v>
      </c>
      <c r="K14" s="21"/>
      <c r="L14" s="19"/>
      <c r="M14" s="22">
        <f>C14-H14-I14+L14-K14-J14</f>
        <v>320.59999999999991</v>
      </c>
      <c r="N14" s="14">
        <f t="shared" si="0"/>
        <v>3675</v>
      </c>
      <c r="O14" s="36" t="s">
        <v>50</v>
      </c>
      <c r="P14" s="33">
        <f t="shared" si="1"/>
        <v>32.059999999999995</v>
      </c>
      <c r="Q14" s="33">
        <f t="shared" si="2"/>
        <v>34.6248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3469.6</v>
      </c>
      <c r="I15" s="10">
        <v>0</v>
      </c>
      <c r="J15" s="10">
        <v>0</v>
      </c>
      <c r="K15" s="21"/>
      <c r="L15" s="19">
        <v>428.57</v>
      </c>
      <c r="M15" s="13">
        <f t="shared" si="6"/>
        <v>958.97</v>
      </c>
      <c r="N15" s="14">
        <f t="shared" si="0"/>
        <v>4428.57</v>
      </c>
      <c r="O15" s="30" t="s">
        <v>47</v>
      </c>
      <c r="P15" s="33">
        <f t="shared" si="1"/>
        <v>95.897000000000006</v>
      </c>
      <c r="Q15" s="33">
        <f t="shared" si="2"/>
        <v>103.56876000000001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3354.2</v>
      </c>
      <c r="I16" s="10">
        <v>0</v>
      </c>
      <c r="J16" s="10">
        <v>0</v>
      </c>
      <c r="K16" s="21"/>
      <c r="L16" s="19"/>
      <c r="M16" s="13">
        <f>C16-H16-I16+L16-K16-J16</f>
        <v>645.80000000000018</v>
      </c>
      <c r="N16" s="14">
        <f t="shared" si="0"/>
        <v>4000</v>
      </c>
      <c r="O16" s="29">
        <v>0.03</v>
      </c>
      <c r="P16" s="33">
        <f t="shared" si="1"/>
        <v>64.580000000000027</v>
      </c>
      <c r="Q16" s="33">
        <f t="shared" si="2"/>
        <v>69.746400000000037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3354.4</v>
      </c>
      <c r="I17" s="10">
        <v>0</v>
      </c>
      <c r="J17" s="10">
        <v>0</v>
      </c>
      <c r="K17" s="21"/>
      <c r="L17" s="19"/>
      <c r="M17" s="13">
        <f t="shared" si="6"/>
        <v>645.59999999999991</v>
      </c>
      <c r="N17" s="14">
        <f t="shared" si="0"/>
        <v>4000</v>
      </c>
      <c r="O17" s="29" t="s">
        <v>48</v>
      </c>
      <c r="P17" s="33">
        <f t="shared" si="1"/>
        <v>64.559999999999988</v>
      </c>
      <c r="Q17" s="33">
        <f t="shared" si="2"/>
        <v>69.724799999999988</v>
      </c>
    </row>
    <row r="18" spans="1:17" x14ac:dyDescent="0.25">
      <c r="A18" s="5">
        <v>162</v>
      </c>
      <c r="B18" s="6" t="s">
        <v>27</v>
      </c>
      <c r="C18" s="7">
        <v>4500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2544.1999999999998</v>
      </c>
      <c r="I18" s="10">
        <v>375</v>
      </c>
      <c r="J18" s="10">
        <v>140</v>
      </c>
      <c r="K18" s="21">
        <v>1413.08</v>
      </c>
      <c r="L18" s="19"/>
      <c r="M18" s="13">
        <f t="shared" si="6"/>
        <v>27.720000000000255</v>
      </c>
      <c r="N18" s="14">
        <f t="shared" si="0"/>
        <v>2571.92</v>
      </c>
      <c r="O18" s="29">
        <v>0.03</v>
      </c>
      <c r="P18" s="33">
        <f t="shared" si="1"/>
        <v>2.7720000000000256</v>
      </c>
      <c r="Q18" s="33">
        <f t="shared" si="2"/>
        <v>2.993760000000028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2390.6</v>
      </c>
      <c r="I19" s="10">
        <v>0</v>
      </c>
      <c r="J19" s="10">
        <v>0</v>
      </c>
      <c r="K19" s="16">
        <v>2010.92</v>
      </c>
      <c r="L19" s="12"/>
      <c r="M19" s="13">
        <f t="shared" si="6"/>
        <v>5598.48</v>
      </c>
      <c r="N19" s="14">
        <f t="shared" si="0"/>
        <v>7989.08</v>
      </c>
      <c r="O19" s="29" t="s">
        <v>50</v>
      </c>
      <c r="P19" s="33">
        <f t="shared" si="1"/>
        <v>559.84799999999996</v>
      </c>
      <c r="Q19" s="33">
        <f t="shared" si="2"/>
        <v>604.63584000000003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3354.4</v>
      </c>
      <c r="I20" s="10">
        <v>375</v>
      </c>
      <c r="J20" s="10">
        <v>175</v>
      </c>
      <c r="K20" s="21"/>
      <c r="L20" s="19"/>
      <c r="M20" s="13">
        <f t="shared" si="6"/>
        <v>4095.6000000000004</v>
      </c>
      <c r="N20" s="14">
        <f t="shared" si="0"/>
        <v>7450</v>
      </c>
      <c r="O20" s="29">
        <v>0.03</v>
      </c>
      <c r="P20" s="33">
        <f t="shared" si="1"/>
        <v>409.56000000000006</v>
      </c>
      <c r="Q20" s="33">
        <f t="shared" si="2"/>
        <v>442.3248000000001</v>
      </c>
    </row>
    <row r="21" spans="1:17" s="55" customFormat="1" ht="13.5" customHeight="1" x14ac:dyDescent="0.25">
      <c r="A21" s="5">
        <v>204</v>
      </c>
      <c r="B21" s="6" t="s">
        <v>33</v>
      </c>
      <c r="C21" s="7">
        <v>5000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3354.2</v>
      </c>
      <c r="I21" s="10">
        <v>225</v>
      </c>
      <c r="J21" s="10">
        <v>70</v>
      </c>
      <c r="K21" s="11"/>
      <c r="L21" s="19"/>
      <c r="M21" s="13">
        <f t="shared" si="6"/>
        <v>1350.8000000000002</v>
      </c>
      <c r="N21" s="14">
        <f t="shared" si="0"/>
        <v>4705</v>
      </c>
      <c r="O21" s="29" t="s">
        <v>118</v>
      </c>
      <c r="P21" s="33">
        <f t="shared" si="1"/>
        <v>135.08000000000001</v>
      </c>
      <c r="Q21" s="33">
        <f t="shared" si="2"/>
        <v>145.88640000000001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3354.2</v>
      </c>
      <c r="I22" s="10">
        <v>0</v>
      </c>
      <c r="J22" s="10">
        <v>0</v>
      </c>
      <c r="K22" s="11"/>
      <c r="L22" s="12"/>
      <c r="M22" s="13">
        <f t="shared" si="6"/>
        <v>645.80000000000018</v>
      </c>
      <c r="N22" s="14">
        <f t="shared" si="0"/>
        <v>4000</v>
      </c>
      <c r="O22" s="29" t="s">
        <v>50</v>
      </c>
      <c r="P22" s="33">
        <f t="shared" si="1"/>
        <v>64.580000000000027</v>
      </c>
      <c r="Q22" s="33">
        <f t="shared" si="2"/>
        <v>69.746400000000037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3354.4</v>
      </c>
      <c r="I23" s="10">
        <v>225</v>
      </c>
      <c r="J23" s="10">
        <v>70</v>
      </c>
      <c r="K23" s="21"/>
      <c r="L23" s="19"/>
      <c r="M23" s="13">
        <f t="shared" si="6"/>
        <v>1350.6</v>
      </c>
      <c r="N23" s="14">
        <f t="shared" si="0"/>
        <v>4705</v>
      </c>
      <c r="O23" s="29" t="s">
        <v>118</v>
      </c>
      <c r="P23" s="33">
        <f t="shared" si="1"/>
        <v>135.06</v>
      </c>
      <c r="Q23" s="33">
        <f t="shared" si="2"/>
        <v>145.8648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3354.4</v>
      </c>
      <c r="I24" s="10">
        <v>0</v>
      </c>
      <c r="J24" s="10">
        <v>0</v>
      </c>
      <c r="K24" s="12"/>
      <c r="L24" s="12"/>
      <c r="M24" s="13">
        <f t="shared" si="6"/>
        <v>145.59999999999991</v>
      </c>
      <c r="N24" s="14">
        <f t="shared" si="0"/>
        <v>3500</v>
      </c>
      <c r="O24" s="29" t="s">
        <v>49</v>
      </c>
      <c r="P24" s="33">
        <f t="shared" si="1"/>
        <v>14.559999999999992</v>
      </c>
      <c r="Q24" s="33">
        <f t="shared" si="2"/>
        <v>15.724799999999991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2744</v>
      </c>
      <c r="I25" s="10">
        <v>150</v>
      </c>
      <c r="J25" s="10">
        <v>175</v>
      </c>
      <c r="K25" s="16">
        <v>610.33000000000004</v>
      </c>
      <c r="L25" s="12"/>
      <c r="M25" s="22">
        <f>C25-H25-I25+L25-K25-J25</f>
        <v>320.66999999999996</v>
      </c>
      <c r="N25" s="14">
        <f t="shared" si="0"/>
        <v>3064.67</v>
      </c>
      <c r="O25" s="36">
        <v>0.03</v>
      </c>
      <c r="P25" s="33">
        <f t="shared" si="1"/>
        <v>32.067</v>
      </c>
      <c r="Q25" s="33">
        <f t="shared" si="2"/>
        <v>34.632360000000006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3354.2</v>
      </c>
      <c r="I26" s="10">
        <v>375</v>
      </c>
      <c r="J26" s="10">
        <v>175</v>
      </c>
      <c r="K26" s="21"/>
      <c r="L26" s="19"/>
      <c r="M26" s="13">
        <f t="shared" si="6"/>
        <v>1095.8000000000002</v>
      </c>
      <c r="N26" s="14">
        <f t="shared" si="0"/>
        <v>4450</v>
      </c>
      <c r="O26" s="29">
        <v>0.03</v>
      </c>
      <c r="P26" s="33">
        <f t="shared" si="1"/>
        <v>109.58000000000003</v>
      </c>
      <c r="Q26" s="33">
        <f t="shared" si="2"/>
        <v>118.34640000000003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3354.4</v>
      </c>
      <c r="I27" s="10">
        <v>375</v>
      </c>
      <c r="J27" s="10">
        <v>140</v>
      </c>
      <c r="K27" s="21"/>
      <c r="L27" s="19"/>
      <c r="M27" s="13">
        <f t="shared" si="6"/>
        <v>4130.6000000000004</v>
      </c>
      <c r="N27" s="14">
        <f t="shared" si="0"/>
        <v>7485</v>
      </c>
      <c r="O27" s="29" t="s">
        <v>118</v>
      </c>
      <c r="P27" s="33">
        <f t="shared" si="1"/>
        <v>413.06000000000006</v>
      </c>
      <c r="Q27" s="33">
        <f t="shared" si="2"/>
        <v>446.10480000000007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3354.4</v>
      </c>
      <c r="I28" s="10">
        <v>375</v>
      </c>
      <c r="J28" s="10">
        <v>175</v>
      </c>
      <c r="K28" s="21"/>
      <c r="L28" s="12"/>
      <c r="M28" s="13">
        <f t="shared" si="6"/>
        <v>2095.6</v>
      </c>
      <c r="N28" s="14">
        <f t="shared" si="0"/>
        <v>5450</v>
      </c>
      <c r="O28" s="29" t="s">
        <v>118</v>
      </c>
      <c r="P28" s="33">
        <f t="shared" si="1"/>
        <v>209.56</v>
      </c>
      <c r="Q28" s="33">
        <f t="shared" si="2"/>
        <v>226.32480000000001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3354.2</v>
      </c>
      <c r="I29" s="10">
        <v>375</v>
      </c>
      <c r="J29" s="10">
        <v>70</v>
      </c>
      <c r="K29" s="21"/>
      <c r="L29" s="19"/>
      <c r="M29" s="13">
        <f t="shared" si="6"/>
        <v>2450.8000000000002</v>
      </c>
      <c r="N29" s="14">
        <f t="shared" si="0"/>
        <v>5805</v>
      </c>
      <c r="O29" s="31" t="s">
        <v>118</v>
      </c>
      <c r="P29" s="33">
        <f t="shared" si="1"/>
        <v>245.08000000000004</v>
      </c>
      <c r="Q29" s="33">
        <f t="shared" si="2"/>
        <v>264.68640000000005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3354.4</v>
      </c>
      <c r="I30" s="10">
        <v>375</v>
      </c>
      <c r="J30" s="10">
        <v>105</v>
      </c>
      <c r="K30" s="11"/>
      <c r="L30" s="19"/>
      <c r="M30" s="13">
        <f>C30-H30-I30+L30-K30-J30</f>
        <v>1165.5999999999999</v>
      </c>
      <c r="N30" s="14">
        <f>H30+M30</f>
        <v>4520</v>
      </c>
      <c r="O30" s="29" t="s">
        <v>118</v>
      </c>
      <c r="P30" s="33">
        <f>+M30*0.1</f>
        <v>116.56</v>
      </c>
      <c r="Q30" s="33">
        <f t="shared" si="2"/>
        <v>125.88480000000001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3354.4</v>
      </c>
      <c r="I31" s="10">
        <v>300</v>
      </c>
      <c r="J31" s="10">
        <v>105</v>
      </c>
      <c r="K31" s="21"/>
      <c r="L31" s="12"/>
      <c r="M31" s="13">
        <f>C31-H31-I31+L31-K31-J31</f>
        <v>1240.5999999999999</v>
      </c>
      <c r="N31" s="14">
        <f t="shared" si="0"/>
        <v>4595</v>
      </c>
      <c r="O31" s="29">
        <v>0.03</v>
      </c>
      <c r="P31" s="33">
        <f t="shared" si="1"/>
        <v>124.06</v>
      </c>
      <c r="Q31" s="33">
        <f t="shared" si="2"/>
        <v>133.98480000000001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3354.2</v>
      </c>
      <c r="I32" s="10">
        <v>0</v>
      </c>
      <c r="J32" s="10">
        <v>0</v>
      </c>
      <c r="K32" s="11"/>
      <c r="L32" s="19">
        <v>521.5</v>
      </c>
      <c r="M32" s="13">
        <f t="shared" si="6"/>
        <v>2167.3000000000002</v>
      </c>
      <c r="N32" s="14">
        <f>H32+M32</f>
        <v>5521.5</v>
      </c>
      <c r="O32" s="34" t="s">
        <v>47</v>
      </c>
      <c r="P32" s="33">
        <f t="shared" si="1"/>
        <v>216.73000000000002</v>
      </c>
      <c r="Q32" s="33">
        <f t="shared" si="2"/>
        <v>234.06840000000003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3354.2</v>
      </c>
      <c r="I33" s="10">
        <v>225</v>
      </c>
      <c r="J33" s="10">
        <v>105</v>
      </c>
      <c r="K33" s="21"/>
      <c r="L33" s="12"/>
      <c r="M33" s="22">
        <f>C33-H33-I33+L33-K33-J33</f>
        <v>315.80000000000018</v>
      </c>
      <c r="N33" s="14">
        <f t="shared" si="0"/>
        <v>3670</v>
      </c>
      <c r="O33" s="5">
        <v>0.03</v>
      </c>
      <c r="P33" s="33">
        <f t="shared" si="1"/>
        <v>31.58000000000002</v>
      </c>
      <c r="Q33" s="33">
        <f t="shared" si="2"/>
        <v>34.106400000000022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3354.4</v>
      </c>
      <c r="I34" s="10">
        <v>0</v>
      </c>
      <c r="J34" s="10">
        <v>0</v>
      </c>
      <c r="K34" s="11"/>
      <c r="L34" s="19"/>
      <c r="M34" s="13">
        <f t="shared" si="6"/>
        <v>1645.6</v>
      </c>
      <c r="N34" s="14">
        <f t="shared" si="0"/>
        <v>5000</v>
      </c>
      <c r="O34" s="5" t="s">
        <v>48</v>
      </c>
      <c r="P34" s="33">
        <f t="shared" si="1"/>
        <v>164.56</v>
      </c>
      <c r="Q34" s="33">
        <f t="shared" si="2"/>
        <v>177.72480000000002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2385.6</v>
      </c>
      <c r="I35" s="10">
        <v>225</v>
      </c>
      <c r="J35" s="10">
        <v>105</v>
      </c>
      <c r="K35" s="16">
        <v>898.62</v>
      </c>
      <c r="L35" s="19"/>
      <c r="M35" s="13">
        <f t="shared" si="6"/>
        <v>385.78000000000009</v>
      </c>
      <c r="N35" s="14">
        <f t="shared" si="0"/>
        <v>2771.38</v>
      </c>
      <c r="O35" s="5">
        <v>0.03</v>
      </c>
      <c r="P35" s="33">
        <f t="shared" si="1"/>
        <v>38.57800000000001</v>
      </c>
      <c r="Q35" s="33">
        <f t="shared" si="2"/>
        <v>41.664240000000014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2621.1999999999998</v>
      </c>
      <c r="I36" s="10">
        <v>300</v>
      </c>
      <c r="J36" s="10">
        <v>175</v>
      </c>
      <c r="K36" s="16">
        <v>723.44</v>
      </c>
      <c r="L36" s="12"/>
      <c r="M36" s="13">
        <f t="shared" si="6"/>
        <v>1180.3600000000001</v>
      </c>
      <c r="N36" s="14">
        <f t="shared" si="0"/>
        <v>3801.56</v>
      </c>
      <c r="O36" s="5" t="s">
        <v>47</v>
      </c>
      <c r="P36" s="33">
        <f t="shared" si="1"/>
        <v>118.03600000000002</v>
      </c>
      <c r="Q36" s="33">
        <f t="shared" si="2"/>
        <v>127.47888000000003</v>
      </c>
    </row>
    <row r="37" spans="1:17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3354.4</v>
      </c>
      <c r="I37" s="10">
        <v>75</v>
      </c>
      <c r="J37" s="10">
        <v>0</v>
      </c>
      <c r="K37" s="11"/>
      <c r="L37" s="19"/>
      <c r="M37" s="13">
        <f t="shared" si="6"/>
        <v>570.59999999999991</v>
      </c>
      <c r="N37" s="14">
        <f t="shared" si="0"/>
        <v>3925</v>
      </c>
      <c r="O37" s="5" t="s">
        <v>47</v>
      </c>
      <c r="P37" s="33">
        <f t="shared" si="1"/>
        <v>57.059999999999995</v>
      </c>
      <c r="Q37" s="33">
        <f t="shared" si="2"/>
        <v>61.6248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3354.2</v>
      </c>
      <c r="I38" s="10">
        <v>300</v>
      </c>
      <c r="J38" s="10">
        <v>175</v>
      </c>
      <c r="K38" s="21"/>
      <c r="L38" s="19"/>
      <c r="M38" s="13">
        <f t="shared" si="6"/>
        <v>3170.8</v>
      </c>
      <c r="N38" s="14">
        <f>H38+M38</f>
        <v>6525</v>
      </c>
      <c r="O38" s="5" t="s">
        <v>118</v>
      </c>
      <c r="P38" s="33">
        <f t="shared" si="1"/>
        <v>317.08000000000004</v>
      </c>
      <c r="Q38" s="33">
        <f t="shared" si="2"/>
        <v>342.44640000000004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2985</v>
      </c>
      <c r="I39" s="10">
        <v>375</v>
      </c>
      <c r="J39" s="10">
        <v>140</v>
      </c>
      <c r="K39" s="21"/>
      <c r="L39" s="19"/>
      <c r="M39" s="22">
        <f>C39-H39-I39+L39-K39-J39</f>
        <v>0</v>
      </c>
      <c r="N39" s="14">
        <f t="shared" si="0"/>
        <v>2985</v>
      </c>
      <c r="O39" s="5">
        <v>0.03</v>
      </c>
      <c r="P39" s="33">
        <f t="shared" si="1"/>
        <v>0</v>
      </c>
      <c r="Q39" s="33">
        <f t="shared" si="2"/>
        <v>0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3081.2</v>
      </c>
      <c r="I40" s="10">
        <v>0</v>
      </c>
      <c r="J40" s="10">
        <v>0</v>
      </c>
      <c r="K40" s="21">
        <v>293.92</v>
      </c>
      <c r="L40" s="19"/>
      <c r="M40" s="98">
        <f>C40-H40-I40+L40-K40-J40+0.12</f>
        <v>1.659783421814609E-13</v>
      </c>
      <c r="N40" s="14">
        <f t="shared" si="0"/>
        <v>3081.2</v>
      </c>
      <c r="O40" s="5">
        <v>0.03</v>
      </c>
      <c r="P40" s="33">
        <f t="shared" si="1"/>
        <v>1.659783421814609E-14</v>
      </c>
      <c r="Q40" s="33">
        <f t="shared" si="2"/>
        <v>1.7925660955597778E-14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3354.2</v>
      </c>
      <c r="I41" s="10">
        <v>300</v>
      </c>
      <c r="J41" s="10">
        <v>70</v>
      </c>
      <c r="K41" s="11"/>
      <c r="L41" s="19"/>
      <c r="M41" s="13">
        <f t="shared" si="6"/>
        <v>1275.8000000000002</v>
      </c>
      <c r="N41" s="14">
        <f t="shared" si="0"/>
        <v>4630</v>
      </c>
      <c r="O41" s="5">
        <v>0.03</v>
      </c>
      <c r="P41" s="33">
        <f t="shared" si="1"/>
        <v>127.58000000000003</v>
      </c>
      <c r="Q41" s="33">
        <f t="shared" si="2"/>
        <v>137.78640000000004</v>
      </c>
    </row>
    <row r="42" spans="1:17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3315</v>
      </c>
      <c r="I42" s="10">
        <v>150</v>
      </c>
      <c r="J42" s="10">
        <v>35</v>
      </c>
      <c r="K42" s="21"/>
      <c r="L42" s="19"/>
      <c r="M42" s="22">
        <f>C42-H42-I42+L42-K42-J42</f>
        <v>0</v>
      </c>
      <c r="N42" s="14">
        <f t="shared" si="0"/>
        <v>3315</v>
      </c>
      <c r="O42" s="5" t="s">
        <v>118</v>
      </c>
      <c r="P42" s="33">
        <f t="shared" si="1"/>
        <v>0</v>
      </c>
      <c r="Q42" s="33">
        <f t="shared" si="2"/>
        <v>0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0</v>
      </c>
      <c r="J43" s="10">
        <v>0</v>
      </c>
      <c r="K43" s="11"/>
      <c r="L43" s="19"/>
      <c r="M43" s="13">
        <f t="shared" si="6"/>
        <v>1645.6</v>
      </c>
      <c r="N43" s="14">
        <f t="shared" si="0"/>
        <v>5000</v>
      </c>
      <c r="O43" s="5" t="s">
        <v>119</v>
      </c>
      <c r="P43" s="33">
        <f t="shared" si="1"/>
        <v>164.56</v>
      </c>
      <c r="Q43" s="33">
        <f t="shared" si="2"/>
        <v>177.72480000000002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3354.4</v>
      </c>
      <c r="I44" s="10">
        <v>0</v>
      </c>
      <c r="J44" s="10">
        <v>0</v>
      </c>
      <c r="K44" s="11"/>
      <c r="L44" s="19"/>
      <c r="M44" s="13">
        <f t="shared" si="6"/>
        <v>5395.6</v>
      </c>
      <c r="N44" s="14">
        <f t="shared" si="0"/>
        <v>8750</v>
      </c>
      <c r="O44" s="5">
        <v>0.03</v>
      </c>
      <c r="P44" s="33">
        <f t="shared" si="1"/>
        <v>539.56000000000006</v>
      </c>
      <c r="Q44" s="33">
        <f t="shared" si="2"/>
        <v>582.72480000000007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3354.2</v>
      </c>
      <c r="I45" s="10">
        <v>0</v>
      </c>
      <c r="J45" s="10">
        <v>0</v>
      </c>
      <c r="K45" s="21"/>
      <c r="L45" s="19"/>
      <c r="M45" s="13">
        <f t="shared" si="6"/>
        <v>1645.8000000000002</v>
      </c>
      <c r="N45" s="14">
        <f t="shared" si="0"/>
        <v>5000</v>
      </c>
      <c r="O45" s="5">
        <v>0.03</v>
      </c>
      <c r="P45" s="33">
        <f t="shared" si="1"/>
        <v>164.58000000000004</v>
      </c>
      <c r="Q45" s="33">
        <f t="shared" si="2"/>
        <v>177.74640000000005</v>
      </c>
    </row>
    <row r="46" spans="1:17" s="55" customFormat="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3354.4</v>
      </c>
      <c r="I46" s="10">
        <v>0</v>
      </c>
      <c r="J46" s="10">
        <v>0</v>
      </c>
      <c r="K46" s="11"/>
      <c r="L46" s="19"/>
      <c r="M46" s="13">
        <f t="shared" si="6"/>
        <v>645.59999999999991</v>
      </c>
      <c r="N46" s="14">
        <f t="shared" si="0"/>
        <v>4000</v>
      </c>
      <c r="O46" s="5" t="s">
        <v>48</v>
      </c>
      <c r="P46" s="33">
        <f t="shared" si="1"/>
        <v>64.559999999999988</v>
      </c>
      <c r="Q46" s="33">
        <f t="shared" si="2"/>
        <v>69.724799999999988</v>
      </c>
    </row>
    <row r="47" spans="1:17" s="55" customFormat="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>
        <v>0</v>
      </c>
      <c r="J47" s="10">
        <v>0</v>
      </c>
      <c r="K47" s="21"/>
      <c r="L47" s="19"/>
      <c r="M47" s="13">
        <f>C47-H47-I47+L47-K47-J47</f>
        <v>645.59999999999991</v>
      </c>
      <c r="N47" s="14">
        <f t="shared" si="0"/>
        <v>4000</v>
      </c>
      <c r="O47" s="5" t="s">
        <v>48</v>
      </c>
      <c r="P47" s="33">
        <f t="shared" si="1"/>
        <v>64.559999999999988</v>
      </c>
      <c r="Q47" s="33">
        <f t="shared" si="2"/>
        <v>69.724799999999988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3354.2</v>
      </c>
      <c r="I48" s="10">
        <v>375</v>
      </c>
      <c r="J48" s="10">
        <v>0</v>
      </c>
      <c r="K48" s="11"/>
      <c r="L48" s="19">
        <v>140</v>
      </c>
      <c r="M48" s="13">
        <f t="shared" si="6"/>
        <v>410.80000000000018</v>
      </c>
      <c r="N48" s="14">
        <f t="shared" si="0"/>
        <v>3765</v>
      </c>
      <c r="O48" s="5" t="s">
        <v>118</v>
      </c>
      <c r="P48" s="33">
        <f t="shared" si="1"/>
        <v>41.08000000000002</v>
      </c>
      <c r="Q48" s="33">
        <f t="shared" si="2"/>
        <v>44.366400000000027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>
        <v>375</v>
      </c>
      <c r="J49" s="10">
        <v>140</v>
      </c>
      <c r="K49" s="21"/>
      <c r="L49" s="19"/>
      <c r="M49" s="13">
        <f t="shared" si="6"/>
        <v>1130.8000000000002</v>
      </c>
      <c r="N49" s="14">
        <f t="shared" si="0"/>
        <v>4485</v>
      </c>
      <c r="O49" s="5" t="s">
        <v>118</v>
      </c>
      <c r="P49" s="33">
        <f t="shared" si="1"/>
        <v>113.08000000000003</v>
      </c>
      <c r="Q49" s="33">
        <f t="shared" si="2"/>
        <v>122.12640000000003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3354.4</v>
      </c>
      <c r="I50" s="10">
        <v>0</v>
      </c>
      <c r="J50" s="10">
        <v>0</v>
      </c>
      <c r="K50" s="11"/>
      <c r="L50" s="19"/>
      <c r="M50" s="13">
        <f t="shared" si="6"/>
        <v>145.59999999999991</v>
      </c>
      <c r="N50" s="14">
        <f t="shared" si="0"/>
        <v>3500</v>
      </c>
      <c r="O50" s="5">
        <v>0.03</v>
      </c>
      <c r="P50" s="33">
        <f t="shared" si="1"/>
        <v>14.559999999999992</v>
      </c>
      <c r="Q50" s="33">
        <f t="shared" si="2"/>
        <v>15.724799999999991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0</v>
      </c>
      <c r="J51" s="10">
        <v>0</v>
      </c>
      <c r="K51" s="11"/>
      <c r="L51" s="19">
        <v>1500</v>
      </c>
      <c r="M51" s="13">
        <f t="shared" si="6"/>
        <v>1645.6</v>
      </c>
      <c r="N51" s="14">
        <f t="shared" si="0"/>
        <v>5000</v>
      </c>
      <c r="O51" s="5">
        <v>0.03</v>
      </c>
      <c r="P51" s="33">
        <f t="shared" si="1"/>
        <v>164.56</v>
      </c>
      <c r="Q51" s="33">
        <f t="shared" si="2"/>
        <v>177.72480000000002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3354.2</v>
      </c>
      <c r="I52" s="10">
        <v>75</v>
      </c>
      <c r="J52" s="10">
        <v>70</v>
      </c>
      <c r="K52" s="11"/>
      <c r="L52" s="19"/>
      <c r="M52" s="13">
        <f t="shared" si="6"/>
        <v>750.80000000000018</v>
      </c>
      <c r="N52" s="14">
        <f t="shared" si="0"/>
        <v>4105</v>
      </c>
      <c r="O52" s="5">
        <v>0.03</v>
      </c>
      <c r="P52" s="33">
        <f t="shared" si="1"/>
        <v>75.080000000000027</v>
      </c>
      <c r="Q52" s="33">
        <f t="shared" si="2"/>
        <v>81.08640000000004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3354.4</v>
      </c>
      <c r="I53" s="10">
        <v>375</v>
      </c>
      <c r="J53" s="10">
        <v>140</v>
      </c>
      <c r="K53" s="11"/>
      <c r="L53" s="12"/>
      <c r="M53" s="13">
        <f t="shared" si="6"/>
        <v>130.59999999999991</v>
      </c>
      <c r="N53" s="14">
        <f t="shared" si="0"/>
        <v>3485</v>
      </c>
      <c r="O53" s="5">
        <v>0.03</v>
      </c>
      <c r="P53" s="33">
        <f t="shared" si="1"/>
        <v>13.059999999999992</v>
      </c>
      <c r="Q53" s="33">
        <f t="shared" si="2"/>
        <v>14.104799999999992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3354.4</v>
      </c>
      <c r="I54" s="10">
        <v>375</v>
      </c>
      <c r="J54" s="10">
        <v>175</v>
      </c>
      <c r="K54" s="11"/>
      <c r="L54" s="12"/>
      <c r="M54" s="22">
        <f t="shared" ref="M54:M60" si="7">C54-H54-I54+L54-K54-J54+0.02</f>
        <v>95.619999999999905</v>
      </c>
      <c r="N54" s="14">
        <f t="shared" si="0"/>
        <v>3450.02</v>
      </c>
      <c r="O54" s="5">
        <v>0.03</v>
      </c>
      <c r="P54" s="33">
        <f t="shared" si="1"/>
        <v>9.5619999999999905</v>
      </c>
      <c r="Q54" s="33">
        <f t="shared" si="2"/>
        <v>10.326959999999991</v>
      </c>
    </row>
    <row r="55" spans="1:18" x14ac:dyDescent="0.25">
      <c r="A55" s="5">
        <v>295</v>
      </c>
      <c r="B55" s="6" t="s">
        <v>104</v>
      </c>
      <c r="C55" s="7">
        <v>5500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3354.2</v>
      </c>
      <c r="I55" s="10">
        <v>375</v>
      </c>
      <c r="J55" s="10">
        <v>175</v>
      </c>
      <c r="K55" s="11"/>
      <c r="L55" s="12"/>
      <c r="M55" s="22">
        <f t="shared" si="7"/>
        <v>1595.8200000000002</v>
      </c>
      <c r="N55" s="14">
        <f t="shared" si="0"/>
        <v>4950.0200000000004</v>
      </c>
      <c r="O55" s="5" t="s">
        <v>118</v>
      </c>
      <c r="P55" s="33">
        <f t="shared" si="1"/>
        <v>159.58200000000002</v>
      </c>
      <c r="Q55" s="33">
        <f t="shared" si="2"/>
        <v>172.34856000000005</v>
      </c>
    </row>
    <row r="56" spans="1:18" x14ac:dyDescent="0.25">
      <c r="A56" s="5">
        <v>297</v>
      </c>
      <c r="B56" s="6" t="s">
        <v>110</v>
      </c>
      <c r="C56" s="7">
        <v>4000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3354.4</v>
      </c>
      <c r="I56" s="10">
        <v>0</v>
      </c>
      <c r="J56" s="10">
        <v>0</v>
      </c>
      <c r="K56" s="11"/>
      <c r="L56" s="12"/>
      <c r="M56" s="22">
        <f t="shared" si="7"/>
        <v>645.61999999999989</v>
      </c>
      <c r="N56" s="14">
        <f t="shared" si="0"/>
        <v>4000.02</v>
      </c>
      <c r="O56" s="5" t="s">
        <v>50</v>
      </c>
      <c r="P56" s="33">
        <f t="shared" si="1"/>
        <v>64.561999999999998</v>
      </c>
      <c r="Q56" s="33">
        <f t="shared" si="2"/>
        <v>69.726960000000005</v>
      </c>
    </row>
    <row r="57" spans="1:18" x14ac:dyDescent="0.25">
      <c r="A57" s="5">
        <v>298</v>
      </c>
      <c r="B57" s="6" t="s">
        <v>115</v>
      </c>
      <c r="C57" s="7">
        <v>5000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1729.8</v>
      </c>
      <c r="I57" s="10">
        <v>300</v>
      </c>
      <c r="J57" s="10">
        <v>140</v>
      </c>
      <c r="K57" s="16">
        <v>1752.94</v>
      </c>
      <c r="L57" s="12"/>
      <c r="M57" s="22">
        <f t="shared" si="7"/>
        <v>1077.2799999999997</v>
      </c>
      <c r="N57" s="14">
        <f t="shared" si="0"/>
        <v>2807.08</v>
      </c>
      <c r="O57" s="5">
        <v>0.03</v>
      </c>
      <c r="P57" s="33">
        <f t="shared" si="1"/>
        <v>107.72799999999998</v>
      </c>
      <c r="Q57" s="33">
        <f t="shared" si="2"/>
        <v>116.34623999999998</v>
      </c>
    </row>
    <row r="58" spans="1:18" x14ac:dyDescent="0.25">
      <c r="A58" s="5">
        <v>299</v>
      </c>
      <c r="B58" s="6" t="s">
        <v>116</v>
      </c>
      <c r="C58" s="7">
        <v>4000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3354.4</v>
      </c>
      <c r="I58" s="10">
        <v>375</v>
      </c>
      <c r="J58" s="10">
        <v>210</v>
      </c>
      <c r="K58" s="11"/>
      <c r="L58" s="12"/>
      <c r="M58" s="22">
        <f t="shared" si="7"/>
        <v>60.619999999999912</v>
      </c>
      <c r="N58" s="14">
        <f t="shared" si="0"/>
        <v>3415.02</v>
      </c>
      <c r="O58" s="5">
        <v>0.03</v>
      </c>
      <c r="P58" s="33">
        <f t="shared" si="1"/>
        <v>6.0619999999999914</v>
      </c>
      <c r="Q58" s="33">
        <f t="shared" si="2"/>
        <v>6.5469599999999915</v>
      </c>
    </row>
    <row r="59" spans="1:18" x14ac:dyDescent="0.25">
      <c r="A59" s="5">
        <v>300</v>
      </c>
      <c r="B59" s="6" t="s">
        <v>121</v>
      </c>
      <c r="C59" s="7">
        <v>6250</v>
      </c>
      <c r="D59" s="7">
        <v>419.88</v>
      </c>
      <c r="E59" s="8">
        <f>D59*6</f>
        <v>2519.2799999999997</v>
      </c>
      <c r="F59" s="8">
        <f t="shared" si="4"/>
        <v>419.88</v>
      </c>
      <c r="G59" s="9">
        <f>E59+F59</f>
        <v>2939.16</v>
      </c>
      <c r="H59" s="37">
        <v>3354.2</v>
      </c>
      <c r="I59" s="10">
        <v>0</v>
      </c>
      <c r="J59" s="10">
        <v>0</v>
      </c>
      <c r="K59" s="11"/>
      <c r="L59" s="12"/>
      <c r="M59" s="22">
        <f>C59-H59-I59+L59-K59-J59+0.02</f>
        <v>2895.82</v>
      </c>
      <c r="N59" s="14">
        <f>H59+M59</f>
        <v>6250.02</v>
      </c>
      <c r="O59" s="5">
        <v>0.03</v>
      </c>
      <c r="P59" s="33">
        <f>+M59*0.1</f>
        <v>289.58200000000005</v>
      </c>
      <c r="Q59" s="33">
        <f>+P59*1.08</f>
        <v>312.74856000000005</v>
      </c>
    </row>
    <row r="60" spans="1:18" x14ac:dyDescent="0.25">
      <c r="A60" s="5">
        <v>301</v>
      </c>
      <c r="B60" s="6" t="s">
        <v>124</v>
      </c>
      <c r="C60" s="7">
        <v>5000</v>
      </c>
      <c r="D60" s="7">
        <v>419.88</v>
      </c>
      <c r="E60" s="8">
        <f t="shared" si="3"/>
        <v>2519.2799999999997</v>
      </c>
      <c r="F60" s="8">
        <f t="shared" si="4"/>
        <v>419.88</v>
      </c>
      <c r="G60" s="9">
        <f t="shared" si="5"/>
        <v>2939.16</v>
      </c>
      <c r="H60" s="37">
        <v>2601.4</v>
      </c>
      <c r="I60" s="10">
        <v>0</v>
      </c>
      <c r="J60" s="10">
        <v>0</v>
      </c>
      <c r="K60" s="11">
        <v>1671.41</v>
      </c>
      <c r="L60" s="12"/>
      <c r="M60" s="22">
        <f t="shared" si="7"/>
        <v>727.20999999999981</v>
      </c>
      <c r="N60" s="14">
        <f t="shared" si="0"/>
        <v>3328.6099999999997</v>
      </c>
      <c r="O60" s="5">
        <v>0.03</v>
      </c>
      <c r="P60" s="33">
        <f t="shared" si="1"/>
        <v>72.720999999999989</v>
      </c>
      <c r="Q60" s="33">
        <f t="shared" si="2"/>
        <v>78.538679999999999</v>
      </c>
    </row>
    <row r="61" spans="1:18" ht="16.149999999999999" customHeight="1" thickBot="1" x14ac:dyDescent="0.3"/>
    <row r="62" spans="1:18" ht="18" thickBot="1" x14ac:dyDescent="0.35">
      <c r="A62" s="23"/>
      <c r="B62" s="24"/>
      <c r="C62" s="25">
        <f>SUM(C4:C61)</f>
        <v>281375</v>
      </c>
      <c r="D62" s="25">
        <f t="shared" ref="D62:N62" si="8">SUM(D4:D61)</f>
        <v>23933.160000000003</v>
      </c>
      <c r="E62" s="25">
        <f t="shared" si="8"/>
        <v>141079.67999999996</v>
      </c>
      <c r="F62" s="25">
        <f t="shared" si="8"/>
        <v>23513.280000000002</v>
      </c>
      <c r="G62" s="25">
        <f t="shared" si="8"/>
        <v>164592.96000000014</v>
      </c>
      <c r="H62" s="25">
        <f>SUM(H4:H61)</f>
        <v>180128.79999999993</v>
      </c>
      <c r="I62" s="26">
        <f t="shared" si="8"/>
        <v>10125</v>
      </c>
      <c r="J62" s="26">
        <f t="shared" si="8"/>
        <v>3990</v>
      </c>
      <c r="K62" s="26">
        <f t="shared" si="8"/>
        <v>9374.66</v>
      </c>
      <c r="L62" s="27">
        <f>SUM(L4:L61)</f>
        <v>6263.64</v>
      </c>
      <c r="M62" s="25">
        <f>SUM(M4:M61)</f>
        <v>84020.440000000046</v>
      </c>
      <c r="N62" s="25">
        <f t="shared" si="8"/>
        <v>264149.23999999993</v>
      </c>
      <c r="P62" s="25">
        <f>SUM(P4:P61)</f>
        <v>8402.0440000000035</v>
      </c>
      <c r="Q62" s="25">
        <f>SUM(Q4:Q61)</f>
        <v>9074.2075199999999</v>
      </c>
      <c r="R62" s="55">
        <f>+N62+Q62</f>
        <v>273223.44751999993</v>
      </c>
    </row>
    <row r="63" spans="1:18" x14ac:dyDescent="0.25">
      <c r="I63" s="15">
        <f>I62/75</f>
        <v>135</v>
      </c>
      <c r="J63" s="15">
        <f>J62/35</f>
        <v>114</v>
      </c>
    </row>
  </sheetData>
  <autoFilter ref="A3:Q60" xr:uid="{00000000-0009-0000-0000-000019000000}"/>
  <mergeCells count="2">
    <mergeCell ref="A1:N1"/>
    <mergeCell ref="A2:N2"/>
  </mergeCells>
  <pageMargins left="0.25" right="0.25" top="0.75" bottom="0.75" header="0.3" footer="0.3"/>
  <pageSetup scale="53" fitToWidth="0" orientation="landscape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223C6-BFD9-42D4-89F9-5784E043105F}">
  <sheetPr codeName="Hoja31">
    <pageSetUpPr fitToPage="1"/>
  </sheetPr>
  <dimension ref="A1:R63"/>
  <sheetViews>
    <sheetView showGridLines="0" topLeftCell="A28" zoomScaleNormal="100" workbookViewId="0">
      <selection activeCell="J25" sqref="J25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126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60" si="0">H4+M4</f>
        <v>0</v>
      </c>
      <c r="O4" s="81" t="s">
        <v>48</v>
      </c>
      <c r="P4" s="82">
        <f t="shared" ref="P4:P60" si="1">+M4*0.1</f>
        <v>0</v>
      </c>
      <c r="Q4" s="82">
        <f t="shared" ref="Q4:Q60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0" si="3">D5*6</f>
        <v>2519.2799999999997</v>
      </c>
      <c r="F5" s="8">
        <f t="shared" ref="F5:F60" si="4">$D$4</f>
        <v>419.88</v>
      </c>
      <c r="G5" s="9">
        <f t="shared" ref="G5:G60" si="5">E5+F5</f>
        <v>2939.16</v>
      </c>
      <c r="H5" s="37">
        <v>3354.2</v>
      </c>
      <c r="I5" s="10">
        <v>375</v>
      </c>
      <c r="J5" s="10">
        <v>0</v>
      </c>
      <c r="K5" s="11"/>
      <c r="L5" s="19"/>
      <c r="M5" s="13">
        <f>C5-H5-I5+L5-K5-J5</f>
        <v>270.80000000000018</v>
      </c>
      <c r="N5" s="14">
        <f t="shared" si="0"/>
        <v>3625</v>
      </c>
      <c r="O5" s="29" t="s">
        <v>47</v>
      </c>
      <c r="P5" s="33">
        <f t="shared" si="1"/>
        <v>27.08000000000002</v>
      </c>
      <c r="Q5" s="33">
        <f t="shared" si="2"/>
        <v>29.246400000000023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3354.4</v>
      </c>
      <c r="I6" s="18">
        <v>150</v>
      </c>
      <c r="J6" s="18">
        <v>0</v>
      </c>
      <c r="K6" s="21"/>
      <c r="L6" s="19"/>
      <c r="M6" s="13">
        <f t="shared" ref="M6:M53" si="6">C6-H6-I6+L6-K6-J6</f>
        <v>11495.6</v>
      </c>
      <c r="N6" s="14">
        <f>H6+M6</f>
        <v>14850</v>
      </c>
      <c r="O6" s="30" t="s">
        <v>118</v>
      </c>
      <c r="P6" s="33">
        <f t="shared" si="1"/>
        <v>1149.5600000000002</v>
      </c>
      <c r="Q6" s="33">
        <f t="shared" si="2"/>
        <v>1241.5248000000004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3354.2</v>
      </c>
      <c r="I7" s="10">
        <v>150</v>
      </c>
      <c r="J7" s="10">
        <v>105</v>
      </c>
      <c r="K7" s="21"/>
      <c r="L7" s="19"/>
      <c r="M7" s="13">
        <f t="shared" si="6"/>
        <v>1390.8000000000002</v>
      </c>
      <c r="N7" s="14">
        <f t="shared" si="0"/>
        <v>4745</v>
      </c>
      <c r="O7" s="36" t="s">
        <v>118</v>
      </c>
      <c r="P7" s="33">
        <f t="shared" si="1"/>
        <v>139.08000000000001</v>
      </c>
      <c r="Q7" s="33">
        <f t="shared" si="2"/>
        <v>150.20640000000003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375</v>
      </c>
      <c r="J8" s="10">
        <v>105</v>
      </c>
      <c r="K8" s="11"/>
      <c r="L8" s="12"/>
      <c r="M8" s="13">
        <f t="shared" si="6"/>
        <v>665.59999999999991</v>
      </c>
      <c r="N8" s="14">
        <f t="shared" si="0"/>
        <v>4020</v>
      </c>
      <c r="O8" s="30" t="s">
        <v>118</v>
      </c>
      <c r="P8" s="33">
        <f t="shared" si="1"/>
        <v>66.559999999999988</v>
      </c>
      <c r="Q8" s="33">
        <f t="shared" si="2"/>
        <v>71.884799999999998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3354.2</v>
      </c>
      <c r="I9" s="10">
        <v>75</v>
      </c>
      <c r="J9" s="10">
        <v>105</v>
      </c>
      <c r="K9" s="21"/>
      <c r="L9" s="12">
        <v>5000</v>
      </c>
      <c r="M9" s="22">
        <f>C9-H9-I9+L9-K9-J9</f>
        <v>5465.8</v>
      </c>
      <c r="N9" s="14">
        <f t="shared" si="0"/>
        <v>8820</v>
      </c>
      <c r="O9" s="30" t="s">
        <v>47</v>
      </c>
      <c r="P9" s="33">
        <f t="shared" si="1"/>
        <v>546.58000000000004</v>
      </c>
      <c r="Q9" s="33">
        <f t="shared" si="2"/>
        <v>590.30640000000005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1871.6</v>
      </c>
      <c r="I10" s="10">
        <v>0</v>
      </c>
      <c r="J10" s="10">
        <v>0</v>
      </c>
      <c r="K10" s="100">
        <f>1064.3+1064.3</f>
        <v>2128.6</v>
      </c>
      <c r="L10" s="19"/>
      <c r="M10" s="101">
        <f>C10-H10-I10+L10-K10-J10+0.2</f>
        <v>1.819100425848319E-13</v>
      </c>
      <c r="N10" s="14">
        <f t="shared" si="0"/>
        <v>1871.6000000000001</v>
      </c>
      <c r="O10" s="30" t="s">
        <v>49</v>
      </c>
      <c r="P10" s="33">
        <f t="shared" si="1"/>
        <v>1.8191004258483192E-14</v>
      </c>
      <c r="Q10" s="33">
        <f t="shared" si="2"/>
        <v>1.9646284599161848E-14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3354.2</v>
      </c>
      <c r="I11" s="10">
        <v>150</v>
      </c>
      <c r="J11" s="10">
        <v>35</v>
      </c>
      <c r="K11" s="11"/>
      <c r="L11" s="12"/>
      <c r="M11" s="13">
        <f>C11-H11-I11+L11-K11-J11</f>
        <v>3460.8</v>
      </c>
      <c r="N11" s="14">
        <f t="shared" si="0"/>
        <v>6815</v>
      </c>
      <c r="O11" s="30" t="s">
        <v>118</v>
      </c>
      <c r="P11" s="33">
        <f t="shared" si="1"/>
        <v>346.08000000000004</v>
      </c>
      <c r="Q11" s="33">
        <f t="shared" si="2"/>
        <v>373.76640000000009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3354.2</v>
      </c>
      <c r="I12" s="10">
        <v>75</v>
      </c>
      <c r="J12" s="10">
        <v>140</v>
      </c>
      <c r="K12" s="11"/>
      <c r="L12" s="19"/>
      <c r="M12" s="13">
        <f>C12-H12-I12+L12-K12-J12</f>
        <v>1430.8000000000002</v>
      </c>
      <c r="N12" s="14">
        <f t="shared" si="0"/>
        <v>4785</v>
      </c>
      <c r="O12" s="30">
        <v>0.03</v>
      </c>
      <c r="P12" s="33">
        <f t="shared" si="1"/>
        <v>143.08000000000001</v>
      </c>
      <c r="Q12" s="33">
        <f t="shared" si="2"/>
        <v>154.52640000000002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3170</v>
      </c>
      <c r="I13" s="10">
        <v>225</v>
      </c>
      <c r="J13" s="10">
        <v>105</v>
      </c>
      <c r="K13" s="21"/>
      <c r="L13" s="19"/>
      <c r="M13" s="13">
        <f>C13-H13-I13+L13-K13-J13</f>
        <v>0</v>
      </c>
      <c r="N13" s="14">
        <f t="shared" si="0"/>
        <v>3170</v>
      </c>
      <c r="O13" s="30">
        <v>0.03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2879</v>
      </c>
      <c r="I14" s="10">
        <v>150</v>
      </c>
      <c r="J14" s="10">
        <v>175</v>
      </c>
      <c r="K14" s="21">
        <v>587.84</v>
      </c>
      <c r="L14" s="19"/>
      <c r="M14" s="22">
        <f>C14-H14-I14+L14-K14-J14</f>
        <v>208.15999999999997</v>
      </c>
      <c r="N14" s="14">
        <f t="shared" si="0"/>
        <v>3087.16</v>
      </c>
      <c r="O14" s="36" t="s">
        <v>50</v>
      </c>
      <c r="P14" s="33">
        <f t="shared" si="1"/>
        <v>20.815999999999999</v>
      </c>
      <c r="Q14" s="33">
        <f t="shared" si="2"/>
        <v>22.481280000000002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>
        <v>0</v>
      </c>
      <c r="J15" s="10">
        <v>0</v>
      </c>
      <c r="K15" s="21"/>
      <c r="L15" s="19"/>
      <c r="M15" s="13">
        <f t="shared" si="6"/>
        <v>645.59999999999991</v>
      </c>
      <c r="N15" s="14">
        <f t="shared" si="0"/>
        <v>4000</v>
      </c>
      <c r="O15" s="30" t="s">
        <v>47</v>
      </c>
      <c r="P15" s="33">
        <f t="shared" si="1"/>
        <v>64.559999999999988</v>
      </c>
      <c r="Q15" s="33">
        <f t="shared" si="2"/>
        <v>69.724799999999988</v>
      </c>
    </row>
    <row r="16" spans="1:17" x14ac:dyDescent="0.25">
      <c r="A16" s="5">
        <v>151</v>
      </c>
      <c r="B16" s="6" t="s">
        <v>25</v>
      </c>
      <c r="C16" s="7">
        <v>4000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3354.4</v>
      </c>
      <c r="I16" s="10">
        <v>225</v>
      </c>
      <c r="J16" s="10">
        <v>105</v>
      </c>
      <c r="K16" s="21"/>
      <c r="L16" s="19"/>
      <c r="M16" s="13">
        <f>C16-H16-I16+L16-K16-J16</f>
        <v>315.59999999999991</v>
      </c>
      <c r="N16" s="14">
        <f t="shared" si="0"/>
        <v>3670</v>
      </c>
      <c r="O16" s="29">
        <v>0.03</v>
      </c>
      <c r="P16" s="33">
        <f t="shared" si="1"/>
        <v>31.559999999999992</v>
      </c>
      <c r="Q16" s="33">
        <f t="shared" si="2"/>
        <v>34.084799999999994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3120.4</v>
      </c>
      <c r="I17" s="10">
        <v>0</v>
      </c>
      <c r="J17" s="10">
        <v>0</v>
      </c>
      <c r="K17" s="21">
        <v>293.92</v>
      </c>
      <c r="L17" s="19"/>
      <c r="M17" s="13">
        <f t="shared" si="6"/>
        <v>585.67999999999984</v>
      </c>
      <c r="N17" s="14">
        <f t="shared" si="0"/>
        <v>3706.08</v>
      </c>
      <c r="O17" s="29" t="s">
        <v>48</v>
      </c>
      <c r="P17" s="33">
        <f t="shared" si="1"/>
        <v>58.567999999999984</v>
      </c>
      <c r="Q17" s="33">
        <f t="shared" si="2"/>
        <v>63.253439999999983</v>
      </c>
    </row>
    <row r="18" spans="1:17" x14ac:dyDescent="0.25">
      <c r="A18" s="5">
        <v>162</v>
      </c>
      <c r="B18" s="6" t="s">
        <v>27</v>
      </c>
      <c r="C18" s="7">
        <v>4500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3266.2</v>
      </c>
      <c r="I18" s="10">
        <v>225</v>
      </c>
      <c r="J18" s="10">
        <v>175</v>
      </c>
      <c r="K18" s="21"/>
      <c r="L18" s="19"/>
      <c r="M18" s="13">
        <f t="shared" si="6"/>
        <v>833.80000000000018</v>
      </c>
      <c r="N18" s="14">
        <f t="shared" si="0"/>
        <v>4100</v>
      </c>
      <c r="O18" s="29">
        <v>0.03</v>
      </c>
      <c r="P18" s="33">
        <f t="shared" si="1"/>
        <v>83.380000000000024</v>
      </c>
      <c r="Q18" s="33">
        <f t="shared" si="2"/>
        <v>90.050400000000025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2468.6</v>
      </c>
      <c r="I19" s="10">
        <v>0</v>
      </c>
      <c r="J19" s="10">
        <v>0</v>
      </c>
      <c r="K19" s="16">
        <f>2010.92+580</f>
        <v>2590.92</v>
      </c>
      <c r="L19" s="12">
        <v>714.28</v>
      </c>
      <c r="M19" s="13">
        <f t="shared" si="6"/>
        <v>5654.76</v>
      </c>
      <c r="N19" s="14">
        <f t="shared" si="0"/>
        <v>8123.3600000000006</v>
      </c>
      <c r="O19" s="29" t="s">
        <v>50</v>
      </c>
      <c r="P19" s="33">
        <f t="shared" si="1"/>
        <v>565.476</v>
      </c>
      <c r="Q19" s="33">
        <f t="shared" si="2"/>
        <v>610.71408000000008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3354.2</v>
      </c>
      <c r="I20" s="10">
        <v>375</v>
      </c>
      <c r="J20" s="10">
        <v>210</v>
      </c>
      <c r="K20" s="21"/>
      <c r="L20" s="19"/>
      <c r="M20" s="13">
        <f t="shared" si="6"/>
        <v>4060.8</v>
      </c>
      <c r="N20" s="14">
        <f t="shared" si="0"/>
        <v>7415</v>
      </c>
      <c r="O20" s="29">
        <v>0.03</v>
      </c>
      <c r="P20" s="33">
        <f t="shared" si="1"/>
        <v>406.08000000000004</v>
      </c>
      <c r="Q20" s="33">
        <f t="shared" si="2"/>
        <v>438.5664000000001</v>
      </c>
    </row>
    <row r="21" spans="1:17" s="55" customFormat="1" ht="13.5" customHeight="1" x14ac:dyDescent="0.25">
      <c r="A21" s="5">
        <v>204</v>
      </c>
      <c r="B21" s="6" t="s">
        <v>33</v>
      </c>
      <c r="C21" s="7">
        <v>5000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>
        <v>150</v>
      </c>
      <c r="J21" s="10">
        <v>70</v>
      </c>
      <c r="K21" s="11"/>
      <c r="L21" s="19"/>
      <c r="M21" s="13">
        <f t="shared" si="6"/>
        <v>1425.6</v>
      </c>
      <c r="N21" s="14">
        <f t="shared" si="0"/>
        <v>4780</v>
      </c>
      <c r="O21" s="29" t="s">
        <v>118</v>
      </c>
      <c r="P21" s="33">
        <f t="shared" si="1"/>
        <v>142.56</v>
      </c>
      <c r="Q21" s="33">
        <f t="shared" si="2"/>
        <v>153.96480000000003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0</v>
      </c>
      <c r="J22" s="10">
        <v>0</v>
      </c>
      <c r="K22" s="11"/>
      <c r="L22" s="12"/>
      <c r="M22" s="13">
        <f t="shared" si="6"/>
        <v>645.59999999999991</v>
      </c>
      <c r="N22" s="14">
        <f t="shared" si="0"/>
        <v>4000</v>
      </c>
      <c r="O22" s="29" t="s">
        <v>50</v>
      </c>
      <c r="P22" s="33">
        <f t="shared" si="1"/>
        <v>64.559999999999988</v>
      </c>
      <c r="Q22" s="33">
        <f t="shared" si="2"/>
        <v>69.724799999999988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3354.2</v>
      </c>
      <c r="I23" s="10">
        <v>225</v>
      </c>
      <c r="J23" s="10">
        <v>105</v>
      </c>
      <c r="K23" s="21"/>
      <c r="L23" s="19"/>
      <c r="M23" s="13">
        <f t="shared" si="6"/>
        <v>1315.8000000000002</v>
      </c>
      <c r="N23" s="14">
        <f t="shared" si="0"/>
        <v>4670</v>
      </c>
      <c r="O23" s="29" t="s">
        <v>118</v>
      </c>
      <c r="P23" s="33">
        <f t="shared" si="1"/>
        <v>131.58000000000001</v>
      </c>
      <c r="Q23" s="33">
        <f t="shared" si="2"/>
        <v>142.10640000000004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3354.2</v>
      </c>
      <c r="I24" s="10">
        <v>0</v>
      </c>
      <c r="J24" s="10">
        <v>0</v>
      </c>
      <c r="K24" s="12"/>
      <c r="L24" s="12"/>
      <c r="M24" s="13">
        <f t="shared" si="6"/>
        <v>145.80000000000018</v>
      </c>
      <c r="N24" s="14">
        <f t="shared" si="0"/>
        <v>3500</v>
      </c>
      <c r="O24" s="29" t="s">
        <v>49</v>
      </c>
      <c r="P24" s="33">
        <f t="shared" si="1"/>
        <v>14.58000000000002</v>
      </c>
      <c r="Q24" s="33">
        <f t="shared" si="2"/>
        <v>15.746400000000023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2628.4</v>
      </c>
      <c r="I25" s="10">
        <v>0</v>
      </c>
      <c r="J25" s="10">
        <v>140</v>
      </c>
      <c r="K25" s="16">
        <v>861.76</v>
      </c>
      <c r="L25" s="12"/>
      <c r="M25" s="22">
        <f>C25-H25-I25+L25-K25-J25</f>
        <v>369.83999999999992</v>
      </c>
      <c r="N25" s="14">
        <f t="shared" si="0"/>
        <v>2998.24</v>
      </c>
      <c r="O25" s="36">
        <v>0.03</v>
      </c>
      <c r="P25" s="33">
        <f t="shared" si="1"/>
        <v>36.983999999999995</v>
      </c>
      <c r="Q25" s="33">
        <f t="shared" si="2"/>
        <v>39.942719999999994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3354.4</v>
      </c>
      <c r="I26" s="10">
        <v>375</v>
      </c>
      <c r="J26" s="10">
        <v>35</v>
      </c>
      <c r="K26" s="21"/>
      <c r="L26" s="19"/>
      <c r="M26" s="13">
        <f t="shared" si="6"/>
        <v>1235.5999999999999</v>
      </c>
      <c r="N26" s="14">
        <f t="shared" si="0"/>
        <v>4590</v>
      </c>
      <c r="O26" s="29">
        <v>0.03</v>
      </c>
      <c r="P26" s="33">
        <f t="shared" si="1"/>
        <v>123.56</v>
      </c>
      <c r="Q26" s="33">
        <f t="shared" si="2"/>
        <v>133.44480000000001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2681.2</v>
      </c>
      <c r="I27" s="10">
        <v>375</v>
      </c>
      <c r="J27" s="10">
        <v>175</v>
      </c>
      <c r="K27" s="16">
        <v>1538.46</v>
      </c>
      <c r="L27" s="19"/>
      <c r="M27" s="13">
        <f t="shared" si="6"/>
        <v>3230.34</v>
      </c>
      <c r="N27" s="14">
        <f t="shared" si="0"/>
        <v>5911.54</v>
      </c>
      <c r="O27" s="29" t="s">
        <v>118</v>
      </c>
      <c r="P27" s="33">
        <f t="shared" si="1"/>
        <v>323.03400000000005</v>
      </c>
      <c r="Q27" s="33">
        <f t="shared" si="2"/>
        <v>348.87672000000009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3354.2</v>
      </c>
      <c r="I28" s="10">
        <v>375</v>
      </c>
      <c r="J28" s="10">
        <v>175</v>
      </c>
      <c r="K28" s="21"/>
      <c r="L28" s="12"/>
      <c r="M28" s="13">
        <f t="shared" si="6"/>
        <v>2095.8000000000002</v>
      </c>
      <c r="N28" s="14">
        <f t="shared" si="0"/>
        <v>5450</v>
      </c>
      <c r="O28" s="29" t="s">
        <v>118</v>
      </c>
      <c r="P28" s="33">
        <f t="shared" si="1"/>
        <v>209.58000000000004</v>
      </c>
      <c r="Q28" s="33">
        <f t="shared" si="2"/>
        <v>226.34640000000005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300</v>
      </c>
      <c r="J29" s="10">
        <v>105</v>
      </c>
      <c r="K29" s="21"/>
      <c r="L29" s="19"/>
      <c r="M29" s="13">
        <f t="shared" si="6"/>
        <v>2490.6</v>
      </c>
      <c r="N29" s="14">
        <f t="shared" si="0"/>
        <v>5845</v>
      </c>
      <c r="O29" s="31" t="s">
        <v>118</v>
      </c>
      <c r="P29" s="33">
        <f t="shared" si="1"/>
        <v>249.06</v>
      </c>
      <c r="Q29" s="33">
        <f t="shared" si="2"/>
        <v>268.98480000000001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3354.2</v>
      </c>
      <c r="I30" s="10">
        <v>150</v>
      </c>
      <c r="J30" s="10">
        <v>35</v>
      </c>
      <c r="K30" s="11"/>
      <c r="L30" s="19"/>
      <c r="M30" s="13">
        <f>C30-H30-I30+L30-K30-J30</f>
        <v>1460.8000000000002</v>
      </c>
      <c r="N30" s="14">
        <f>H30+M30</f>
        <v>4815</v>
      </c>
      <c r="O30" s="29" t="s">
        <v>118</v>
      </c>
      <c r="P30" s="33">
        <f>+M30*0.1</f>
        <v>146.08000000000001</v>
      </c>
      <c r="Q30" s="33">
        <f t="shared" si="2"/>
        <v>157.76640000000003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3354.2</v>
      </c>
      <c r="I31" s="10">
        <v>300</v>
      </c>
      <c r="J31" s="10">
        <v>105</v>
      </c>
      <c r="K31" s="21"/>
      <c r="L31" s="12"/>
      <c r="M31" s="13">
        <f>C31-H31-I31+L31-K31-J31</f>
        <v>1240.8000000000002</v>
      </c>
      <c r="N31" s="14">
        <f t="shared" si="0"/>
        <v>4595</v>
      </c>
      <c r="O31" s="29">
        <v>0.03</v>
      </c>
      <c r="P31" s="33">
        <f t="shared" si="1"/>
        <v>124.08000000000003</v>
      </c>
      <c r="Q31" s="33">
        <f t="shared" si="2"/>
        <v>134.00640000000004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0</v>
      </c>
      <c r="J32" s="10">
        <v>0</v>
      </c>
      <c r="K32" s="11"/>
      <c r="L32" s="19"/>
      <c r="M32" s="13">
        <f t="shared" si="6"/>
        <v>1645.6</v>
      </c>
      <c r="N32" s="14">
        <f>H32+M32</f>
        <v>5000</v>
      </c>
      <c r="O32" s="34" t="s">
        <v>47</v>
      </c>
      <c r="P32" s="33">
        <f t="shared" si="1"/>
        <v>164.56</v>
      </c>
      <c r="Q32" s="33">
        <f t="shared" si="2"/>
        <v>177.72480000000002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3354.4</v>
      </c>
      <c r="I33" s="10">
        <v>225</v>
      </c>
      <c r="J33" s="10">
        <v>105</v>
      </c>
      <c r="K33" s="21"/>
      <c r="L33" s="12"/>
      <c r="M33" s="22">
        <f>C33-H33-I33+L33-K33-J33</f>
        <v>315.59999999999991</v>
      </c>
      <c r="N33" s="14">
        <f t="shared" si="0"/>
        <v>3670</v>
      </c>
      <c r="O33" s="5">
        <v>0.03</v>
      </c>
      <c r="P33" s="33">
        <f t="shared" si="1"/>
        <v>31.559999999999992</v>
      </c>
      <c r="Q33" s="33">
        <f t="shared" si="2"/>
        <v>34.084799999999994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3354.2</v>
      </c>
      <c r="I34" s="10">
        <v>0</v>
      </c>
      <c r="J34" s="10">
        <v>0</v>
      </c>
      <c r="K34" s="11"/>
      <c r="L34" s="19"/>
      <c r="M34" s="13">
        <f t="shared" si="6"/>
        <v>1645.8000000000002</v>
      </c>
      <c r="N34" s="14">
        <f t="shared" si="0"/>
        <v>5000</v>
      </c>
      <c r="O34" s="5" t="s">
        <v>48</v>
      </c>
      <c r="P34" s="33">
        <f t="shared" si="1"/>
        <v>164.58000000000004</v>
      </c>
      <c r="Q34" s="33">
        <f t="shared" si="2"/>
        <v>177.74640000000005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2151.4</v>
      </c>
      <c r="I35" s="10">
        <v>225</v>
      </c>
      <c r="J35" s="10">
        <v>105</v>
      </c>
      <c r="K35" s="16">
        <v>1193.21</v>
      </c>
      <c r="L35" s="19"/>
      <c r="M35" s="13">
        <f t="shared" si="6"/>
        <v>325.38999999999987</v>
      </c>
      <c r="N35" s="14">
        <f t="shared" si="0"/>
        <v>2476.79</v>
      </c>
      <c r="O35" s="5">
        <v>0.03</v>
      </c>
      <c r="P35" s="33">
        <f t="shared" si="1"/>
        <v>32.538999999999987</v>
      </c>
      <c r="Q35" s="33">
        <f t="shared" si="2"/>
        <v>35.142119999999991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2855.4</v>
      </c>
      <c r="I36" s="10">
        <v>375</v>
      </c>
      <c r="J36" s="10">
        <v>70</v>
      </c>
      <c r="K36" s="16">
        <v>428.85</v>
      </c>
      <c r="L36" s="12"/>
      <c r="M36" s="13">
        <f t="shared" si="6"/>
        <v>1270.75</v>
      </c>
      <c r="N36" s="14">
        <f t="shared" si="0"/>
        <v>4126.1499999999996</v>
      </c>
      <c r="O36" s="5" t="s">
        <v>47</v>
      </c>
      <c r="P36" s="33">
        <f t="shared" si="1"/>
        <v>127.075</v>
      </c>
      <c r="Q36" s="33">
        <f t="shared" si="2"/>
        <v>137.24100000000001</v>
      </c>
    </row>
    <row r="37" spans="1:17" s="55" customFormat="1" x14ac:dyDescent="0.25">
      <c r="A37" s="5">
        <v>268</v>
      </c>
      <c r="B37" s="6" t="s">
        <v>57</v>
      </c>
      <c r="C37" s="7">
        <v>4000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3354.2</v>
      </c>
      <c r="I37" s="10">
        <v>0</v>
      </c>
      <c r="J37" s="10">
        <v>0</v>
      </c>
      <c r="K37" s="11"/>
      <c r="L37" s="19"/>
      <c r="M37" s="13">
        <f t="shared" si="6"/>
        <v>645.80000000000018</v>
      </c>
      <c r="N37" s="14">
        <f t="shared" si="0"/>
        <v>4000</v>
      </c>
      <c r="O37" s="5" t="s">
        <v>47</v>
      </c>
      <c r="P37" s="33">
        <f t="shared" si="1"/>
        <v>64.580000000000027</v>
      </c>
      <c r="Q37" s="33">
        <f t="shared" si="2"/>
        <v>69.746400000000037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3120.4</v>
      </c>
      <c r="I38" s="10">
        <v>150</v>
      </c>
      <c r="J38" s="10">
        <v>140</v>
      </c>
      <c r="K38" s="21">
        <v>293.92</v>
      </c>
      <c r="L38" s="19"/>
      <c r="M38" s="13">
        <f t="shared" si="6"/>
        <v>3295.68</v>
      </c>
      <c r="N38" s="14">
        <f>H38+M38</f>
        <v>6416.08</v>
      </c>
      <c r="O38" s="5" t="s">
        <v>118</v>
      </c>
      <c r="P38" s="33">
        <f t="shared" si="1"/>
        <v>329.56799999999998</v>
      </c>
      <c r="Q38" s="33">
        <f t="shared" si="2"/>
        <v>355.93344000000002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3245</v>
      </c>
      <c r="I39" s="10">
        <v>150</v>
      </c>
      <c r="J39" s="10">
        <v>105</v>
      </c>
      <c r="K39" s="21"/>
      <c r="L39" s="19"/>
      <c r="M39" s="22">
        <f>C39-H39-I39+L39-K39-J39</f>
        <v>0</v>
      </c>
      <c r="N39" s="14">
        <f t="shared" si="0"/>
        <v>3245</v>
      </c>
      <c r="O39" s="5">
        <v>0.03</v>
      </c>
      <c r="P39" s="33">
        <f t="shared" si="1"/>
        <v>0</v>
      </c>
      <c r="Q39" s="33">
        <f t="shared" si="2"/>
        <v>0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3081.2</v>
      </c>
      <c r="I40" s="10">
        <v>0</v>
      </c>
      <c r="J40" s="10">
        <v>0</v>
      </c>
      <c r="K40" s="21">
        <v>293.92</v>
      </c>
      <c r="L40" s="19"/>
      <c r="M40" s="98">
        <f>C40-H40-I40+L40-K40-J40+0.12</f>
        <v>1.659783421814609E-13</v>
      </c>
      <c r="N40" s="14">
        <f t="shared" si="0"/>
        <v>3081.2</v>
      </c>
      <c r="O40" s="5">
        <v>0.03</v>
      </c>
      <c r="P40" s="33">
        <f t="shared" si="1"/>
        <v>1.659783421814609E-14</v>
      </c>
      <c r="Q40" s="33">
        <f t="shared" si="2"/>
        <v>1.7925660955597778E-14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3354.4</v>
      </c>
      <c r="I41" s="10">
        <v>300</v>
      </c>
      <c r="J41" s="10">
        <v>105</v>
      </c>
      <c r="K41" s="11"/>
      <c r="L41" s="19"/>
      <c r="M41" s="13">
        <f t="shared" si="6"/>
        <v>1240.5999999999999</v>
      </c>
      <c r="N41" s="14">
        <f t="shared" si="0"/>
        <v>4595</v>
      </c>
      <c r="O41" s="5">
        <v>0.03</v>
      </c>
      <c r="P41" s="33">
        <f t="shared" si="1"/>
        <v>124.06</v>
      </c>
      <c r="Q41" s="33">
        <f t="shared" si="2"/>
        <v>133.98480000000001</v>
      </c>
    </row>
    <row r="42" spans="1:17" s="55" customFormat="1" x14ac:dyDescent="0.25">
      <c r="A42" s="5">
        <v>279</v>
      </c>
      <c r="B42" s="6" t="s">
        <v>63</v>
      </c>
      <c r="C42" s="7">
        <v>3500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3120.2</v>
      </c>
      <c r="I42" s="10">
        <v>0</v>
      </c>
      <c r="J42" s="10">
        <v>35</v>
      </c>
      <c r="K42" s="21">
        <v>293.92</v>
      </c>
      <c r="L42" s="19"/>
      <c r="M42" s="22">
        <f>C42-H42-I42+L42-K42-J42</f>
        <v>50.880000000000166</v>
      </c>
      <c r="N42" s="14">
        <f t="shared" si="0"/>
        <v>3171.08</v>
      </c>
      <c r="O42" s="5" t="s">
        <v>118</v>
      </c>
      <c r="P42" s="33">
        <f t="shared" si="1"/>
        <v>5.088000000000017</v>
      </c>
      <c r="Q42" s="33">
        <f t="shared" si="2"/>
        <v>5.495040000000019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0</v>
      </c>
      <c r="J43" s="10">
        <v>0</v>
      </c>
      <c r="K43" s="11"/>
      <c r="L43" s="19"/>
      <c r="M43" s="13">
        <f t="shared" si="6"/>
        <v>1645.6</v>
      </c>
      <c r="N43" s="14">
        <f t="shared" si="0"/>
        <v>5000</v>
      </c>
      <c r="O43" s="5" t="s">
        <v>119</v>
      </c>
      <c r="P43" s="33">
        <f t="shared" si="1"/>
        <v>164.56</v>
      </c>
      <c r="Q43" s="33">
        <f t="shared" si="2"/>
        <v>177.72480000000002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3354.2</v>
      </c>
      <c r="I44" s="10">
        <v>0</v>
      </c>
      <c r="J44" s="10">
        <v>0</v>
      </c>
      <c r="K44" s="11"/>
      <c r="L44" s="19"/>
      <c r="M44" s="13">
        <f t="shared" si="6"/>
        <v>5395.8</v>
      </c>
      <c r="N44" s="14">
        <f t="shared" si="0"/>
        <v>8750</v>
      </c>
      <c r="O44" s="5">
        <v>0.03</v>
      </c>
      <c r="P44" s="33">
        <f t="shared" si="1"/>
        <v>539.58000000000004</v>
      </c>
      <c r="Q44" s="33">
        <f t="shared" si="2"/>
        <v>582.74640000000011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3354.4</v>
      </c>
      <c r="I45" s="10">
        <v>0</v>
      </c>
      <c r="J45" s="10">
        <v>0</v>
      </c>
      <c r="K45" s="21"/>
      <c r="L45" s="19"/>
      <c r="M45" s="13">
        <f t="shared" si="6"/>
        <v>1645.6</v>
      </c>
      <c r="N45" s="14">
        <f t="shared" si="0"/>
        <v>5000</v>
      </c>
      <c r="O45" s="5">
        <v>0.03</v>
      </c>
      <c r="P45" s="33">
        <f t="shared" si="1"/>
        <v>164.56</v>
      </c>
      <c r="Q45" s="33">
        <f t="shared" si="2"/>
        <v>177.72480000000002</v>
      </c>
    </row>
    <row r="46" spans="1:17" s="55" customFormat="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3354.2</v>
      </c>
      <c r="I46" s="10">
        <v>0</v>
      </c>
      <c r="J46" s="10">
        <v>0</v>
      </c>
      <c r="K46" s="11"/>
      <c r="L46" s="19"/>
      <c r="M46" s="13">
        <f t="shared" si="6"/>
        <v>645.80000000000018</v>
      </c>
      <c r="N46" s="14">
        <f t="shared" si="0"/>
        <v>4000</v>
      </c>
      <c r="O46" s="5" t="s">
        <v>48</v>
      </c>
      <c r="P46" s="33">
        <f t="shared" si="1"/>
        <v>64.580000000000027</v>
      </c>
      <c r="Q46" s="33">
        <f t="shared" si="2"/>
        <v>69.746400000000037</v>
      </c>
    </row>
    <row r="47" spans="1:17" s="55" customFormat="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2879</v>
      </c>
      <c r="I47" s="10">
        <v>0</v>
      </c>
      <c r="J47" s="10">
        <v>0</v>
      </c>
      <c r="K47" s="21">
        <v>587.84</v>
      </c>
      <c r="L47" s="19"/>
      <c r="M47" s="13">
        <f>C47-H47-I47+L47-K47-J47</f>
        <v>533.16</v>
      </c>
      <c r="N47" s="14">
        <f t="shared" si="0"/>
        <v>3412.16</v>
      </c>
      <c r="O47" s="5" t="s">
        <v>48</v>
      </c>
      <c r="P47" s="33">
        <f t="shared" si="1"/>
        <v>53.316000000000003</v>
      </c>
      <c r="Q47" s="33">
        <f t="shared" si="2"/>
        <v>57.581280000000007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>
        <v>375</v>
      </c>
      <c r="J48" s="10">
        <v>0</v>
      </c>
      <c r="K48" s="11"/>
      <c r="L48" s="19"/>
      <c r="M48" s="13">
        <f t="shared" si="6"/>
        <v>270.59999999999991</v>
      </c>
      <c r="N48" s="14">
        <f t="shared" si="0"/>
        <v>3625</v>
      </c>
      <c r="O48" s="5" t="s">
        <v>118</v>
      </c>
      <c r="P48" s="33">
        <f t="shared" si="1"/>
        <v>27.059999999999992</v>
      </c>
      <c r="Q48" s="33">
        <f t="shared" si="2"/>
        <v>29.224799999999991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3354.4</v>
      </c>
      <c r="I49" s="10">
        <v>150</v>
      </c>
      <c r="J49" s="10">
        <v>35</v>
      </c>
      <c r="K49" s="21"/>
      <c r="L49" s="19"/>
      <c r="M49" s="13">
        <f t="shared" si="6"/>
        <v>1460.6</v>
      </c>
      <c r="N49" s="14">
        <f t="shared" si="0"/>
        <v>4815</v>
      </c>
      <c r="O49" s="5" t="s">
        <v>118</v>
      </c>
      <c r="P49" s="33">
        <f t="shared" si="1"/>
        <v>146.06</v>
      </c>
      <c r="Q49" s="33">
        <f t="shared" si="2"/>
        <v>157.74480000000003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3354.2</v>
      </c>
      <c r="I50" s="10">
        <v>0</v>
      </c>
      <c r="J50" s="10">
        <v>0</v>
      </c>
      <c r="K50" s="11"/>
      <c r="L50" s="19"/>
      <c r="M50" s="13">
        <f t="shared" si="6"/>
        <v>145.80000000000018</v>
      </c>
      <c r="N50" s="14">
        <f t="shared" si="0"/>
        <v>3500</v>
      </c>
      <c r="O50" s="5">
        <v>0.03</v>
      </c>
      <c r="P50" s="33">
        <f t="shared" si="1"/>
        <v>14.58000000000002</v>
      </c>
      <c r="Q50" s="33">
        <f t="shared" si="2"/>
        <v>15.746400000000023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3354.2</v>
      </c>
      <c r="I51" s="10">
        <v>0</v>
      </c>
      <c r="J51" s="10">
        <v>0</v>
      </c>
      <c r="K51" s="11"/>
      <c r="L51" s="19">
        <v>7500</v>
      </c>
      <c r="M51" s="13">
        <f t="shared" si="6"/>
        <v>7645.8</v>
      </c>
      <c r="N51" s="14">
        <f t="shared" si="0"/>
        <v>11000</v>
      </c>
      <c r="O51" s="5">
        <v>0.03</v>
      </c>
      <c r="P51" s="33">
        <f t="shared" si="1"/>
        <v>764.58</v>
      </c>
      <c r="Q51" s="33">
        <f t="shared" si="2"/>
        <v>825.74640000000011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0</v>
      </c>
      <c r="J52" s="10">
        <v>70</v>
      </c>
      <c r="K52" s="11"/>
      <c r="L52" s="19"/>
      <c r="M52" s="13">
        <f t="shared" si="6"/>
        <v>825.59999999999991</v>
      </c>
      <c r="N52" s="14">
        <f t="shared" si="0"/>
        <v>4180</v>
      </c>
      <c r="O52" s="5">
        <v>0.03</v>
      </c>
      <c r="P52" s="33">
        <f t="shared" si="1"/>
        <v>82.56</v>
      </c>
      <c r="Q52" s="33">
        <f t="shared" si="2"/>
        <v>89.164800000000014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3354.2</v>
      </c>
      <c r="I53" s="10">
        <v>225</v>
      </c>
      <c r="J53" s="10">
        <v>0</v>
      </c>
      <c r="K53" s="11"/>
      <c r="L53" s="12"/>
      <c r="M53" s="13">
        <f t="shared" si="6"/>
        <v>420.80000000000018</v>
      </c>
      <c r="N53" s="14">
        <f t="shared" si="0"/>
        <v>3775</v>
      </c>
      <c r="O53" s="5">
        <v>0.03</v>
      </c>
      <c r="P53" s="33">
        <f t="shared" si="1"/>
        <v>42.08000000000002</v>
      </c>
      <c r="Q53" s="33">
        <f t="shared" si="2"/>
        <v>45.446400000000025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3354.2</v>
      </c>
      <c r="I54" s="10">
        <v>300</v>
      </c>
      <c r="J54" s="10">
        <v>140</v>
      </c>
      <c r="K54" s="11"/>
      <c r="L54" s="12"/>
      <c r="M54" s="22">
        <f t="shared" ref="M54:M60" si="7">C54-H54-I54+L54-K54-J54+0.02</f>
        <v>205.82000000000019</v>
      </c>
      <c r="N54" s="14">
        <f t="shared" si="0"/>
        <v>3560.02</v>
      </c>
      <c r="O54" s="5">
        <v>0.03</v>
      </c>
      <c r="P54" s="33">
        <f t="shared" si="1"/>
        <v>20.582000000000022</v>
      </c>
      <c r="Q54" s="33">
        <f t="shared" si="2"/>
        <v>22.228560000000027</v>
      </c>
    </row>
    <row r="55" spans="1:18" x14ac:dyDescent="0.25">
      <c r="A55" s="5">
        <v>295</v>
      </c>
      <c r="B55" s="6" t="s">
        <v>104</v>
      </c>
      <c r="C55" s="7">
        <v>5500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375</v>
      </c>
      <c r="J55" s="10">
        <v>140</v>
      </c>
      <c r="K55" s="11"/>
      <c r="L55" s="12"/>
      <c r="M55" s="22">
        <f t="shared" si="7"/>
        <v>1630.62</v>
      </c>
      <c r="N55" s="14">
        <f t="shared" si="0"/>
        <v>4985.0200000000004</v>
      </c>
      <c r="O55" s="5" t="s">
        <v>118</v>
      </c>
      <c r="P55" s="33">
        <f t="shared" si="1"/>
        <v>163.06200000000001</v>
      </c>
      <c r="Q55" s="33">
        <f t="shared" si="2"/>
        <v>176.10696000000002</v>
      </c>
    </row>
    <row r="56" spans="1:18" x14ac:dyDescent="0.25">
      <c r="A56" s="5">
        <v>297</v>
      </c>
      <c r="B56" s="6" t="s">
        <v>110</v>
      </c>
      <c r="C56" s="7">
        <v>4000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3354.4</v>
      </c>
      <c r="I56" s="10">
        <v>0</v>
      </c>
      <c r="J56" s="10">
        <v>0</v>
      </c>
      <c r="K56" s="11"/>
      <c r="L56" s="12"/>
      <c r="M56" s="22">
        <f t="shared" si="7"/>
        <v>645.61999999999989</v>
      </c>
      <c r="N56" s="14">
        <f t="shared" si="0"/>
        <v>4000.02</v>
      </c>
      <c r="O56" s="5" t="s">
        <v>50</v>
      </c>
      <c r="P56" s="33">
        <f t="shared" si="1"/>
        <v>64.561999999999998</v>
      </c>
      <c r="Q56" s="33">
        <f t="shared" si="2"/>
        <v>69.726960000000005</v>
      </c>
    </row>
    <row r="57" spans="1:18" x14ac:dyDescent="0.25">
      <c r="A57" s="5">
        <v>298</v>
      </c>
      <c r="B57" s="6" t="s">
        <v>115</v>
      </c>
      <c r="C57" s="7">
        <v>5000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1845.8</v>
      </c>
      <c r="I57" s="10">
        <v>225</v>
      </c>
      <c r="J57" s="10">
        <v>0</v>
      </c>
      <c r="K57" s="16">
        <v>1894.86</v>
      </c>
      <c r="L57" s="12"/>
      <c r="M57" s="22">
        <f t="shared" si="7"/>
        <v>1034.3599999999999</v>
      </c>
      <c r="N57" s="14">
        <f t="shared" si="0"/>
        <v>2880.16</v>
      </c>
      <c r="O57" s="5">
        <v>0.03</v>
      </c>
      <c r="P57" s="33">
        <f t="shared" si="1"/>
        <v>103.43599999999999</v>
      </c>
      <c r="Q57" s="33">
        <f t="shared" si="2"/>
        <v>111.71088</v>
      </c>
    </row>
    <row r="58" spans="1:18" x14ac:dyDescent="0.25">
      <c r="A58" s="5">
        <v>299</v>
      </c>
      <c r="B58" s="6" t="s">
        <v>116</v>
      </c>
      <c r="C58" s="7">
        <v>4000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3354.4</v>
      </c>
      <c r="I58" s="10">
        <v>375</v>
      </c>
      <c r="J58" s="10">
        <v>175</v>
      </c>
      <c r="K58" s="11"/>
      <c r="L58" s="12"/>
      <c r="M58" s="22">
        <f t="shared" si="7"/>
        <v>95.619999999999905</v>
      </c>
      <c r="N58" s="14">
        <f t="shared" si="0"/>
        <v>3450.02</v>
      </c>
      <c r="O58" s="5">
        <v>0.03</v>
      </c>
      <c r="P58" s="33">
        <f t="shared" si="1"/>
        <v>9.5619999999999905</v>
      </c>
      <c r="Q58" s="33">
        <f t="shared" si="2"/>
        <v>10.326959999999991</v>
      </c>
    </row>
    <row r="59" spans="1:18" x14ac:dyDescent="0.25">
      <c r="A59" s="5">
        <v>300</v>
      </c>
      <c r="B59" s="6" t="s">
        <v>121</v>
      </c>
      <c r="C59" s="7">
        <v>6250</v>
      </c>
      <c r="D59" s="7">
        <v>419.88</v>
      </c>
      <c r="E59" s="8">
        <f t="shared" si="3"/>
        <v>2519.2799999999997</v>
      </c>
      <c r="F59" s="8">
        <f t="shared" si="4"/>
        <v>419.88</v>
      </c>
      <c r="G59" s="9">
        <f t="shared" si="5"/>
        <v>2939.16</v>
      </c>
      <c r="H59" s="37">
        <v>3354.4</v>
      </c>
      <c r="I59" s="10">
        <v>0</v>
      </c>
      <c r="J59" s="10">
        <v>0</v>
      </c>
      <c r="K59" s="11"/>
      <c r="L59" s="12">
        <v>500</v>
      </c>
      <c r="M59" s="22">
        <f t="shared" si="7"/>
        <v>3395.62</v>
      </c>
      <c r="N59" s="14">
        <f t="shared" si="0"/>
        <v>6750.02</v>
      </c>
      <c r="O59" s="5">
        <v>0.03</v>
      </c>
      <c r="P59" s="33">
        <f t="shared" si="1"/>
        <v>339.56200000000001</v>
      </c>
      <c r="Q59" s="33">
        <f t="shared" si="2"/>
        <v>366.72696000000002</v>
      </c>
    </row>
    <row r="60" spans="1:18" x14ac:dyDescent="0.25">
      <c r="A60" s="5">
        <v>301</v>
      </c>
      <c r="B60" s="6" t="s">
        <v>124</v>
      </c>
      <c r="C60" s="7">
        <v>5000</v>
      </c>
      <c r="D60" s="7">
        <v>419.88</v>
      </c>
      <c r="E60" s="8">
        <f t="shared" si="3"/>
        <v>2519.2799999999997</v>
      </c>
      <c r="F60" s="8">
        <f t="shared" si="4"/>
        <v>419.88</v>
      </c>
      <c r="G60" s="9">
        <f t="shared" si="5"/>
        <v>2939.16</v>
      </c>
      <c r="H60" s="37">
        <v>3354.2</v>
      </c>
      <c r="I60" s="10">
        <v>0</v>
      </c>
      <c r="J60" s="10">
        <v>0</v>
      </c>
      <c r="K60" s="11"/>
      <c r="L60" s="12"/>
      <c r="M60" s="22">
        <f t="shared" si="7"/>
        <v>1645.8200000000002</v>
      </c>
      <c r="N60" s="14">
        <f t="shared" si="0"/>
        <v>5000.0200000000004</v>
      </c>
      <c r="O60" s="5">
        <v>0.03</v>
      </c>
      <c r="P60" s="33">
        <f t="shared" si="1"/>
        <v>164.58200000000002</v>
      </c>
      <c r="Q60" s="33">
        <f t="shared" si="2"/>
        <v>177.74856000000003</v>
      </c>
    </row>
    <row r="61" spans="1:18" ht="16.149999999999999" customHeight="1" thickBot="1" x14ac:dyDescent="0.3"/>
    <row r="62" spans="1:18" ht="18" thickBot="1" x14ac:dyDescent="0.35">
      <c r="A62" s="23"/>
      <c r="B62" s="24"/>
      <c r="C62" s="25">
        <f>SUM(C4:C61)</f>
        <v>281375</v>
      </c>
      <c r="D62" s="25">
        <f t="shared" ref="D62:N62" si="8">SUM(D4:D61)</f>
        <v>23933.160000000003</v>
      </c>
      <c r="E62" s="25">
        <f t="shared" si="8"/>
        <v>141079.67999999996</v>
      </c>
      <c r="F62" s="25">
        <f t="shared" si="8"/>
        <v>23513.280000000002</v>
      </c>
      <c r="G62" s="25">
        <f t="shared" si="8"/>
        <v>164592.96000000014</v>
      </c>
      <c r="H62" s="25">
        <f>SUM(H4:H61)</f>
        <v>178555.7999999999</v>
      </c>
      <c r="I62" s="26">
        <f t="shared" si="8"/>
        <v>8250</v>
      </c>
      <c r="J62" s="26">
        <f t="shared" si="8"/>
        <v>3430</v>
      </c>
      <c r="K62" s="26">
        <f t="shared" si="8"/>
        <v>12988.020000000002</v>
      </c>
      <c r="L62" s="27">
        <f>SUM(L4:L61)</f>
        <v>13714.279999999999</v>
      </c>
      <c r="M62" s="25">
        <f>SUM(M4:M61)</f>
        <v>91865.920000000027</v>
      </c>
      <c r="N62" s="25">
        <f t="shared" si="8"/>
        <v>270421.71999999997</v>
      </c>
      <c r="P62" s="25">
        <f>SUM(P4:P61)</f>
        <v>9186.5920000000006</v>
      </c>
      <c r="Q62" s="25">
        <f>SUM(Q4:Q61)</f>
        <v>9921.5193600000039</v>
      </c>
      <c r="R62" s="55">
        <f>+N62+Q62</f>
        <v>280343.23935999995</v>
      </c>
    </row>
    <row r="63" spans="1:18" x14ac:dyDescent="0.25">
      <c r="I63" s="15">
        <f>I62/75</f>
        <v>110</v>
      </c>
      <c r="J63" s="15">
        <f>J62/35</f>
        <v>98</v>
      </c>
    </row>
  </sheetData>
  <autoFilter ref="A3:Q60" xr:uid="{00000000-0009-0000-0000-000019000000}"/>
  <mergeCells count="2">
    <mergeCell ref="A1:N1"/>
    <mergeCell ref="A2:N2"/>
  </mergeCells>
  <pageMargins left="0.25" right="0.25" top="0.75" bottom="0.75" header="0.3" footer="0.3"/>
  <pageSetup scale="53" fitToWidth="0" orientation="landscape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C9013-7F22-436D-9441-409747C6F8DE}">
  <sheetPr codeName="Hoja32">
    <pageSetUpPr fitToPage="1"/>
  </sheetPr>
  <dimension ref="A1:R65"/>
  <sheetViews>
    <sheetView showGridLines="0" topLeftCell="C38" zoomScaleNormal="100" workbookViewId="0">
      <selection activeCell="K60" sqref="K60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127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62" si="0">H4+M4</f>
        <v>0</v>
      </c>
      <c r="O4" s="81" t="s">
        <v>48</v>
      </c>
      <c r="P4" s="82">
        <f t="shared" ref="P4:P62" si="1">+M4*0.1</f>
        <v>0</v>
      </c>
      <c r="Q4" s="82">
        <f t="shared" ref="Q4:Q62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2" si="3">D5*6</f>
        <v>2519.2799999999997</v>
      </c>
      <c r="F5" s="8">
        <f t="shared" ref="F5:F62" si="4">$D$4</f>
        <v>419.88</v>
      </c>
      <c r="G5" s="9">
        <f t="shared" ref="G5:G62" si="5">E5+F5</f>
        <v>2939.16</v>
      </c>
      <c r="H5" s="37">
        <v>3354.4</v>
      </c>
      <c r="I5" s="10">
        <v>300</v>
      </c>
      <c r="J5" s="10">
        <v>0</v>
      </c>
      <c r="K5" s="11"/>
      <c r="L5" s="19"/>
      <c r="M5" s="13">
        <f>C5-H5-I5+L5-K5-J5</f>
        <v>345.59999999999991</v>
      </c>
      <c r="N5" s="14">
        <f t="shared" si="0"/>
        <v>3700</v>
      </c>
      <c r="O5" s="29" t="s">
        <v>47</v>
      </c>
      <c r="P5" s="33">
        <f t="shared" si="1"/>
        <v>34.559999999999995</v>
      </c>
      <c r="Q5" s="33">
        <f t="shared" si="2"/>
        <v>37.324799999999996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3354.2</v>
      </c>
      <c r="I6" s="18">
        <v>75</v>
      </c>
      <c r="J6" s="18">
        <v>0</v>
      </c>
      <c r="K6" s="21"/>
      <c r="L6" s="19"/>
      <c r="M6" s="13">
        <f t="shared" ref="M6:M53" si="6">C6-H6-I6+L6-K6-J6</f>
        <v>11570.8</v>
      </c>
      <c r="N6" s="14">
        <f>H6+M6</f>
        <v>14925</v>
      </c>
      <c r="O6" s="30" t="s">
        <v>118</v>
      </c>
      <c r="P6" s="33">
        <f t="shared" si="1"/>
        <v>1157.08</v>
      </c>
      <c r="Q6" s="33">
        <f t="shared" si="2"/>
        <v>1249.6464000000001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3354.4</v>
      </c>
      <c r="I7" s="10">
        <v>150</v>
      </c>
      <c r="J7" s="10">
        <v>105</v>
      </c>
      <c r="K7" s="21"/>
      <c r="L7" s="19"/>
      <c r="M7" s="13">
        <f t="shared" si="6"/>
        <v>1390.6</v>
      </c>
      <c r="N7" s="14">
        <f t="shared" si="0"/>
        <v>4745</v>
      </c>
      <c r="O7" s="36" t="s">
        <v>118</v>
      </c>
      <c r="P7" s="33">
        <f t="shared" si="1"/>
        <v>139.06</v>
      </c>
      <c r="Q7" s="33">
        <f t="shared" si="2"/>
        <v>150.18480000000002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3354.2</v>
      </c>
      <c r="I8" s="10">
        <v>150</v>
      </c>
      <c r="J8" s="10">
        <v>140</v>
      </c>
      <c r="K8" s="11"/>
      <c r="L8" s="12"/>
      <c r="M8" s="13">
        <f t="shared" si="6"/>
        <v>855.80000000000018</v>
      </c>
      <c r="N8" s="14">
        <f t="shared" si="0"/>
        <v>4210</v>
      </c>
      <c r="O8" s="30" t="s">
        <v>118</v>
      </c>
      <c r="P8" s="33">
        <f t="shared" si="1"/>
        <v>85.580000000000027</v>
      </c>
      <c r="Q8" s="33">
        <f t="shared" si="2"/>
        <v>92.426400000000029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3505.8</v>
      </c>
      <c r="I9" s="10">
        <v>300</v>
      </c>
      <c r="J9" s="10">
        <v>105</v>
      </c>
      <c r="K9" s="21"/>
      <c r="L9" s="12">
        <v>571.42999999999995</v>
      </c>
      <c r="M9" s="22">
        <f t="shared" ref="M9:M14" si="7">C9-H9-I9+L9-K9-J9</f>
        <v>660.62999999999977</v>
      </c>
      <c r="N9" s="14">
        <f t="shared" si="0"/>
        <v>4166.43</v>
      </c>
      <c r="O9" s="30" t="s">
        <v>47</v>
      </c>
      <c r="P9" s="33">
        <f t="shared" si="1"/>
        <v>66.062999999999974</v>
      </c>
      <c r="Q9" s="33">
        <f t="shared" si="2"/>
        <v>71.348039999999983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0</v>
      </c>
      <c r="I10" s="10">
        <v>0</v>
      </c>
      <c r="J10" s="10">
        <v>0</v>
      </c>
      <c r="K10" s="100">
        <v>4000</v>
      </c>
      <c r="L10" s="19"/>
      <c r="M10" s="101">
        <f t="shared" si="7"/>
        <v>0</v>
      </c>
      <c r="N10" s="14">
        <f t="shared" si="0"/>
        <v>0</v>
      </c>
      <c r="O10" s="30" t="s">
        <v>49</v>
      </c>
      <c r="P10" s="33">
        <f t="shared" si="1"/>
        <v>0</v>
      </c>
      <c r="Q10" s="33">
        <f t="shared" si="2"/>
        <v>0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300</v>
      </c>
      <c r="J11" s="10">
        <v>105</v>
      </c>
      <c r="K11" s="11"/>
      <c r="L11" s="12"/>
      <c r="M11" s="13">
        <f t="shared" si="7"/>
        <v>3240.6</v>
      </c>
      <c r="N11" s="14">
        <f t="shared" si="0"/>
        <v>6595</v>
      </c>
      <c r="O11" s="30" t="s">
        <v>118</v>
      </c>
      <c r="P11" s="33">
        <f t="shared" si="1"/>
        <v>324.06</v>
      </c>
      <c r="Q11" s="33">
        <f t="shared" si="2"/>
        <v>349.98480000000001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3432.2</v>
      </c>
      <c r="I12" s="10">
        <v>75</v>
      </c>
      <c r="J12" s="10">
        <v>35</v>
      </c>
      <c r="K12" s="11"/>
      <c r="L12" s="12">
        <v>357.14</v>
      </c>
      <c r="M12" s="13">
        <f t="shared" si="7"/>
        <v>1814.94</v>
      </c>
      <c r="N12" s="14">
        <f t="shared" si="0"/>
        <v>5247.1399999999994</v>
      </c>
      <c r="O12" s="30">
        <v>0.03</v>
      </c>
      <c r="P12" s="33">
        <f t="shared" si="1"/>
        <v>181.49400000000003</v>
      </c>
      <c r="Q12" s="33">
        <f t="shared" si="2"/>
        <v>196.01352000000006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3135</v>
      </c>
      <c r="I13" s="10">
        <v>225</v>
      </c>
      <c r="J13" s="10">
        <v>140</v>
      </c>
      <c r="K13" s="21"/>
      <c r="L13" s="19"/>
      <c r="M13" s="13">
        <f t="shared" si="7"/>
        <v>0</v>
      </c>
      <c r="N13" s="14">
        <f t="shared" si="0"/>
        <v>3135</v>
      </c>
      <c r="O13" s="30">
        <v>0.03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2879.2</v>
      </c>
      <c r="I14" s="10">
        <v>150</v>
      </c>
      <c r="J14" s="10">
        <v>175</v>
      </c>
      <c r="K14" s="21">
        <v>587.84</v>
      </c>
      <c r="L14" s="19"/>
      <c r="M14" s="22">
        <f t="shared" si="7"/>
        <v>207.96000000000015</v>
      </c>
      <c r="N14" s="14">
        <f t="shared" si="0"/>
        <v>3087.16</v>
      </c>
      <c r="O14" s="36" t="s">
        <v>50</v>
      </c>
      <c r="P14" s="33">
        <f t="shared" si="1"/>
        <v>20.796000000000017</v>
      </c>
      <c r="Q14" s="33">
        <f t="shared" si="2"/>
        <v>22.45968000000002</v>
      </c>
    </row>
    <row r="15" spans="1:17" x14ac:dyDescent="0.25">
      <c r="A15" s="5">
        <v>150</v>
      </c>
      <c r="B15" s="6" t="s">
        <v>24</v>
      </c>
      <c r="C15" s="7">
        <v>5000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3354.2</v>
      </c>
      <c r="I15" s="10">
        <v>0</v>
      </c>
      <c r="J15" s="10">
        <v>0</v>
      </c>
      <c r="K15" s="21"/>
      <c r="L15" s="19"/>
      <c r="M15" s="13">
        <f t="shared" si="6"/>
        <v>1645.8000000000002</v>
      </c>
      <c r="N15" s="14">
        <f t="shared" si="0"/>
        <v>5000</v>
      </c>
      <c r="O15" s="30" t="s">
        <v>47</v>
      </c>
      <c r="P15" s="33">
        <f t="shared" si="1"/>
        <v>164.58000000000004</v>
      </c>
      <c r="Q15" s="33">
        <f t="shared" si="2"/>
        <v>177.74640000000005</v>
      </c>
    </row>
    <row r="16" spans="1:17" x14ac:dyDescent="0.25">
      <c r="A16" s="5">
        <v>151</v>
      </c>
      <c r="B16" s="6" t="s">
        <v>25</v>
      </c>
      <c r="C16" s="7">
        <v>4500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3469.6</v>
      </c>
      <c r="I16" s="10">
        <v>150</v>
      </c>
      <c r="J16" s="10">
        <v>105</v>
      </c>
      <c r="K16" s="21"/>
      <c r="L16" s="12">
        <v>482.14</v>
      </c>
      <c r="M16" s="13">
        <f>C16-H16-I16+L16-K16-J16</f>
        <v>1257.54</v>
      </c>
      <c r="N16" s="14">
        <f t="shared" si="0"/>
        <v>4727.1399999999994</v>
      </c>
      <c r="O16" s="29">
        <v>0.03</v>
      </c>
      <c r="P16" s="33">
        <f t="shared" si="1"/>
        <v>125.754</v>
      </c>
      <c r="Q16" s="33">
        <f t="shared" si="2"/>
        <v>135.81432000000001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2879</v>
      </c>
      <c r="I17" s="10">
        <v>0</v>
      </c>
      <c r="J17" s="10">
        <v>0</v>
      </c>
      <c r="K17" s="21">
        <v>587.84</v>
      </c>
      <c r="L17" s="19"/>
      <c r="M17" s="13">
        <f t="shared" si="6"/>
        <v>533.16</v>
      </c>
      <c r="N17" s="14">
        <f t="shared" si="0"/>
        <v>3412.16</v>
      </c>
      <c r="O17" s="29" t="s">
        <v>48</v>
      </c>
      <c r="P17" s="33">
        <f t="shared" si="1"/>
        <v>53.316000000000003</v>
      </c>
      <c r="Q17" s="33">
        <f t="shared" si="2"/>
        <v>57.581280000000007</v>
      </c>
    </row>
    <row r="18" spans="1:17" x14ac:dyDescent="0.25">
      <c r="A18" s="5">
        <v>162</v>
      </c>
      <c r="B18" s="6" t="s">
        <v>27</v>
      </c>
      <c r="C18" s="7">
        <v>4500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3354.2</v>
      </c>
      <c r="I18" s="10">
        <v>375</v>
      </c>
      <c r="J18" s="10">
        <v>105</v>
      </c>
      <c r="K18" s="21"/>
      <c r="L18" s="19"/>
      <c r="M18" s="13">
        <f t="shared" si="6"/>
        <v>665.80000000000018</v>
      </c>
      <c r="N18" s="14">
        <f t="shared" si="0"/>
        <v>4020</v>
      </c>
      <c r="O18" s="29">
        <v>0.03</v>
      </c>
      <c r="P18" s="33">
        <f t="shared" si="1"/>
        <v>66.580000000000027</v>
      </c>
      <c r="Q18" s="33">
        <f t="shared" si="2"/>
        <v>71.906400000000033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2390.6</v>
      </c>
      <c r="I19" s="10">
        <v>0</v>
      </c>
      <c r="J19" s="10">
        <v>0</v>
      </c>
      <c r="K19" s="16">
        <f>2010.92+580</f>
        <v>2590.92</v>
      </c>
      <c r="L19" s="12"/>
      <c r="M19" s="13">
        <f t="shared" si="6"/>
        <v>5018.4799999999996</v>
      </c>
      <c r="N19" s="14">
        <f t="shared" si="0"/>
        <v>7409.08</v>
      </c>
      <c r="O19" s="29" t="s">
        <v>50</v>
      </c>
      <c r="P19" s="33">
        <f t="shared" si="1"/>
        <v>501.84799999999996</v>
      </c>
      <c r="Q19" s="33">
        <f t="shared" si="2"/>
        <v>541.99584000000004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3354.4</v>
      </c>
      <c r="I20" s="10">
        <v>375</v>
      </c>
      <c r="J20" s="10">
        <v>175</v>
      </c>
      <c r="K20" s="21"/>
      <c r="L20" s="19"/>
      <c r="M20" s="13">
        <f t="shared" si="6"/>
        <v>4095.6000000000004</v>
      </c>
      <c r="N20" s="14">
        <f t="shared" si="0"/>
        <v>7450</v>
      </c>
      <c r="O20" s="29">
        <v>0.03</v>
      </c>
      <c r="P20" s="33">
        <f t="shared" si="1"/>
        <v>409.56000000000006</v>
      </c>
      <c r="Q20" s="33">
        <f t="shared" si="2"/>
        <v>442.3248000000001</v>
      </c>
    </row>
    <row r="21" spans="1:17" s="55" customFormat="1" ht="13.5" customHeight="1" x14ac:dyDescent="0.25">
      <c r="A21" s="5">
        <v>204</v>
      </c>
      <c r="B21" s="6" t="s">
        <v>33</v>
      </c>
      <c r="C21" s="7">
        <v>5000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3354.2</v>
      </c>
      <c r="I21" s="10">
        <v>75</v>
      </c>
      <c r="J21" s="10">
        <v>140</v>
      </c>
      <c r="K21" s="11"/>
      <c r="L21" s="19"/>
      <c r="M21" s="13">
        <f t="shared" si="6"/>
        <v>1430.8000000000002</v>
      </c>
      <c r="N21" s="14">
        <f t="shared" si="0"/>
        <v>4785</v>
      </c>
      <c r="O21" s="29" t="s">
        <v>118</v>
      </c>
      <c r="P21" s="33">
        <f t="shared" si="1"/>
        <v>143.08000000000001</v>
      </c>
      <c r="Q21" s="33">
        <f t="shared" si="2"/>
        <v>154.52640000000002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3354.2</v>
      </c>
      <c r="I22" s="10">
        <v>0</v>
      </c>
      <c r="J22" s="10">
        <v>0</v>
      </c>
      <c r="K22" s="11"/>
      <c r="L22" s="12"/>
      <c r="M22" s="13">
        <f t="shared" si="6"/>
        <v>645.80000000000018</v>
      </c>
      <c r="N22" s="14">
        <f t="shared" si="0"/>
        <v>4000</v>
      </c>
      <c r="O22" s="29" t="s">
        <v>50</v>
      </c>
      <c r="P22" s="33">
        <f t="shared" si="1"/>
        <v>64.580000000000027</v>
      </c>
      <c r="Q22" s="33">
        <f t="shared" si="2"/>
        <v>69.746400000000037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3354.4</v>
      </c>
      <c r="I23" s="10">
        <v>225</v>
      </c>
      <c r="J23" s="10">
        <v>105</v>
      </c>
      <c r="K23" s="21"/>
      <c r="L23" s="19"/>
      <c r="M23" s="13">
        <f t="shared" si="6"/>
        <v>1315.6</v>
      </c>
      <c r="N23" s="14">
        <f t="shared" si="0"/>
        <v>4670</v>
      </c>
      <c r="O23" s="29" t="s">
        <v>118</v>
      </c>
      <c r="P23" s="33">
        <f t="shared" si="1"/>
        <v>131.56</v>
      </c>
      <c r="Q23" s="33">
        <f t="shared" si="2"/>
        <v>142.0848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3354.4</v>
      </c>
      <c r="I24" s="10">
        <v>0</v>
      </c>
      <c r="J24" s="10">
        <v>0</v>
      </c>
      <c r="K24" s="12"/>
      <c r="L24" s="12"/>
      <c r="M24" s="13">
        <f t="shared" si="6"/>
        <v>145.59999999999991</v>
      </c>
      <c r="N24" s="14">
        <f t="shared" si="0"/>
        <v>3500</v>
      </c>
      <c r="O24" s="29" t="s">
        <v>49</v>
      </c>
      <c r="P24" s="33">
        <f t="shared" si="1"/>
        <v>14.559999999999992</v>
      </c>
      <c r="Q24" s="33">
        <f t="shared" si="2"/>
        <v>15.724799999999991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1902</v>
      </c>
      <c r="I25" s="10">
        <v>150</v>
      </c>
      <c r="J25" s="10">
        <v>175</v>
      </c>
      <c r="K25" s="16">
        <v>1773.09</v>
      </c>
      <c r="L25" s="12"/>
      <c r="M25" s="98">
        <f>C25-H25-I25+L25-K25-J25+0.09</f>
        <v>8.1851192490489666E-14</v>
      </c>
      <c r="N25" s="14">
        <f t="shared" si="0"/>
        <v>1902</v>
      </c>
      <c r="O25" s="36">
        <v>0.03</v>
      </c>
      <c r="P25" s="33">
        <f t="shared" si="1"/>
        <v>8.1851192490489675E-15</v>
      </c>
      <c r="Q25" s="33">
        <f t="shared" si="2"/>
        <v>8.839928788972886E-15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3393.2</v>
      </c>
      <c r="I26" s="10">
        <v>375</v>
      </c>
      <c r="J26" s="10">
        <v>140</v>
      </c>
      <c r="K26" s="21"/>
      <c r="L26" s="12">
        <v>178.57</v>
      </c>
      <c r="M26" s="13">
        <f t="shared" si="6"/>
        <v>1270.3700000000001</v>
      </c>
      <c r="N26" s="14">
        <f t="shared" si="0"/>
        <v>4663.57</v>
      </c>
      <c r="O26" s="29">
        <v>0.03</v>
      </c>
      <c r="P26" s="33">
        <f t="shared" si="1"/>
        <v>127.03700000000002</v>
      </c>
      <c r="Q26" s="33">
        <f t="shared" si="2"/>
        <v>137.19996000000003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2681.4</v>
      </c>
      <c r="I27" s="10">
        <v>375</v>
      </c>
      <c r="J27" s="10">
        <v>140</v>
      </c>
      <c r="K27" s="16">
        <v>1538.46</v>
      </c>
      <c r="L27" s="19"/>
      <c r="M27" s="13">
        <f t="shared" si="6"/>
        <v>3265.1400000000003</v>
      </c>
      <c r="N27" s="14">
        <f t="shared" si="0"/>
        <v>5946.5400000000009</v>
      </c>
      <c r="O27" s="29" t="s">
        <v>118</v>
      </c>
      <c r="P27" s="33">
        <f t="shared" si="1"/>
        <v>326.51400000000007</v>
      </c>
      <c r="Q27" s="33">
        <f t="shared" si="2"/>
        <v>352.63512000000009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3432.2</v>
      </c>
      <c r="I28" s="10">
        <v>375</v>
      </c>
      <c r="J28" s="10">
        <v>175</v>
      </c>
      <c r="K28" s="21"/>
      <c r="L28" s="12">
        <v>428.57</v>
      </c>
      <c r="M28" s="13">
        <f t="shared" si="6"/>
        <v>2446.3700000000003</v>
      </c>
      <c r="N28" s="14">
        <f t="shared" si="0"/>
        <v>5878.57</v>
      </c>
      <c r="O28" s="29" t="s">
        <v>118</v>
      </c>
      <c r="P28" s="33">
        <f t="shared" si="1"/>
        <v>244.63700000000006</v>
      </c>
      <c r="Q28" s="33">
        <f t="shared" si="2"/>
        <v>264.20796000000007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375</v>
      </c>
      <c r="J29" s="10">
        <v>105</v>
      </c>
      <c r="K29" s="21"/>
      <c r="L29" s="19"/>
      <c r="M29" s="13">
        <f t="shared" si="6"/>
        <v>2415.6</v>
      </c>
      <c r="N29" s="14">
        <f t="shared" si="0"/>
        <v>5770</v>
      </c>
      <c r="O29" s="31" t="s">
        <v>118</v>
      </c>
      <c r="P29" s="33">
        <f t="shared" si="1"/>
        <v>241.56</v>
      </c>
      <c r="Q29" s="33">
        <f t="shared" si="2"/>
        <v>260.88480000000004</v>
      </c>
    </row>
    <row r="30" spans="1:17" s="55" customFormat="1" x14ac:dyDescent="0.25">
      <c r="A30" s="5">
        <v>237</v>
      </c>
      <c r="B30" s="6" t="s">
        <v>43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3238.8</v>
      </c>
      <c r="I30" s="10">
        <v>75</v>
      </c>
      <c r="J30" s="10">
        <v>105</v>
      </c>
      <c r="K30" s="11">
        <v>314.29000000000002</v>
      </c>
      <c r="L30" s="19"/>
      <c r="M30" s="13">
        <f>C30-H30-I30+L30-K30-J30</f>
        <v>1266.9099999999999</v>
      </c>
      <c r="N30" s="14">
        <f>H30+M30</f>
        <v>4505.71</v>
      </c>
      <c r="O30" s="29" t="s">
        <v>118</v>
      </c>
      <c r="P30" s="33">
        <f>+M30*0.1</f>
        <v>126.69099999999999</v>
      </c>
      <c r="Q30" s="33">
        <f t="shared" si="2"/>
        <v>136.82628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3354.4</v>
      </c>
      <c r="I31" s="10">
        <v>375</v>
      </c>
      <c r="J31" s="10">
        <v>140</v>
      </c>
      <c r="K31" s="21"/>
      <c r="L31" s="12"/>
      <c r="M31" s="13">
        <f>C31-H31-I31+L31-K31-J31</f>
        <v>1130.5999999999999</v>
      </c>
      <c r="N31" s="14">
        <f t="shared" si="0"/>
        <v>4485</v>
      </c>
      <c r="O31" s="29">
        <v>0.03</v>
      </c>
      <c r="P31" s="33">
        <f t="shared" si="1"/>
        <v>113.06</v>
      </c>
      <c r="Q31" s="33">
        <f t="shared" si="2"/>
        <v>122.10480000000001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3354.2</v>
      </c>
      <c r="I32" s="10">
        <v>0</v>
      </c>
      <c r="J32" s="10">
        <v>0</v>
      </c>
      <c r="K32" s="11"/>
      <c r="L32" s="19"/>
      <c r="M32" s="13">
        <f t="shared" si="6"/>
        <v>1645.8000000000002</v>
      </c>
      <c r="N32" s="14">
        <f>H32+M32</f>
        <v>5000</v>
      </c>
      <c r="O32" s="34" t="s">
        <v>47</v>
      </c>
      <c r="P32" s="33">
        <f t="shared" si="1"/>
        <v>164.58000000000004</v>
      </c>
      <c r="Q32" s="33">
        <f t="shared" si="2"/>
        <v>177.74640000000005</v>
      </c>
    </row>
    <row r="33" spans="1:17" s="55" customFormat="1" x14ac:dyDescent="0.25">
      <c r="A33" s="5">
        <v>252</v>
      </c>
      <c r="B33" s="6" t="s">
        <v>53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3354.4</v>
      </c>
      <c r="I33" s="10">
        <v>225</v>
      </c>
      <c r="J33" s="10">
        <v>105</v>
      </c>
      <c r="K33" s="21"/>
      <c r="L33" s="12"/>
      <c r="M33" s="22">
        <f>C33-H33-I33+L33-K33-J33</f>
        <v>315.59999999999991</v>
      </c>
      <c r="N33" s="14">
        <f t="shared" si="0"/>
        <v>3670</v>
      </c>
      <c r="O33" s="5">
        <v>0.03</v>
      </c>
      <c r="P33" s="33">
        <f t="shared" si="1"/>
        <v>31.559999999999992</v>
      </c>
      <c r="Q33" s="33">
        <f t="shared" si="2"/>
        <v>34.084799999999994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3354.4</v>
      </c>
      <c r="I34" s="10">
        <v>0</v>
      </c>
      <c r="J34" s="10">
        <v>0</v>
      </c>
      <c r="K34" s="11"/>
      <c r="L34" s="19"/>
      <c r="M34" s="13">
        <f t="shared" si="6"/>
        <v>1645.6</v>
      </c>
      <c r="N34" s="14">
        <f t="shared" si="0"/>
        <v>5000</v>
      </c>
      <c r="O34" s="5" t="s">
        <v>48</v>
      </c>
      <c r="P34" s="33">
        <f t="shared" si="1"/>
        <v>164.56</v>
      </c>
      <c r="Q34" s="33">
        <f t="shared" si="2"/>
        <v>177.72480000000002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2385.6</v>
      </c>
      <c r="I35" s="10">
        <v>375</v>
      </c>
      <c r="J35" s="10">
        <v>140</v>
      </c>
      <c r="K35" s="16">
        <v>898.62</v>
      </c>
      <c r="L35" s="19"/>
      <c r="M35" s="13">
        <f t="shared" si="6"/>
        <v>200.78000000000009</v>
      </c>
      <c r="N35" s="14">
        <f t="shared" si="0"/>
        <v>2586.38</v>
      </c>
      <c r="O35" s="5">
        <v>0.03</v>
      </c>
      <c r="P35" s="33">
        <f t="shared" si="1"/>
        <v>20.07800000000001</v>
      </c>
      <c r="Q35" s="33">
        <f t="shared" si="2"/>
        <v>21.684240000000013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2621.1999999999998</v>
      </c>
      <c r="I36" s="10">
        <v>375</v>
      </c>
      <c r="J36" s="10">
        <v>140</v>
      </c>
      <c r="K36" s="16">
        <v>723.44</v>
      </c>
      <c r="L36" s="12"/>
      <c r="M36" s="13">
        <f t="shared" si="6"/>
        <v>1140.3600000000001</v>
      </c>
      <c r="N36" s="14">
        <f t="shared" si="0"/>
        <v>3761.56</v>
      </c>
      <c r="O36" s="5" t="s">
        <v>47</v>
      </c>
      <c r="P36" s="33">
        <f t="shared" si="1"/>
        <v>114.03600000000002</v>
      </c>
      <c r="Q36" s="33">
        <f t="shared" si="2"/>
        <v>123.15888000000002</v>
      </c>
    </row>
    <row r="37" spans="1:17" s="55" customFormat="1" x14ac:dyDescent="0.25">
      <c r="A37" s="102">
        <v>268</v>
      </c>
      <c r="B37" s="103" t="s">
        <v>57</v>
      </c>
      <c r="C37" s="104">
        <v>4000</v>
      </c>
      <c r="D37" s="104">
        <v>419.88</v>
      </c>
      <c r="E37" s="105">
        <f t="shared" si="3"/>
        <v>2519.2799999999997</v>
      </c>
      <c r="F37" s="105">
        <f t="shared" si="4"/>
        <v>419.88</v>
      </c>
      <c r="G37" s="106">
        <f t="shared" si="5"/>
        <v>2939.16</v>
      </c>
      <c r="H37" s="107">
        <v>12290.2</v>
      </c>
      <c r="I37" s="108">
        <v>0</v>
      </c>
      <c r="J37" s="108">
        <v>0</v>
      </c>
      <c r="K37" s="109"/>
      <c r="L37" s="110"/>
      <c r="M37" s="111"/>
      <c r="N37" s="112">
        <f t="shared" si="0"/>
        <v>12290.2</v>
      </c>
      <c r="O37" s="102" t="s">
        <v>47</v>
      </c>
      <c r="P37" s="113">
        <f t="shared" si="1"/>
        <v>0</v>
      </c>
      <c r="Q37" s="113">
        <f t="shared" si="2"/>
        <v>0</v>
      </c>
    </row>
    <row r="38" spans="1:17" s="55" customFormat="1" x14ac:dyDescent="0.25">
      <c r="A38" s="5">
        <v>269</v>
      </c>
      <c r="B38" s="6" t="s">
        <v>58</v>
      </c>
      <c r="C38" s="7">
        <v>7000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2879</v>
      </c>
      <c r="I38" s="10">
        <v>300</v>
      </c>
      <c r="J38" s="10">
        <v>175</v>
      </c>
      <c r="K38" s="21">
        <v>587.84</v>
      </c>
      <c r="L38" s="19"/>
      <c r="M38" s="13">
        <f t="shared" si="6"/>
        <v>3058.16</v>
      </c>
      <c r="N38" s="14">
        <f>H38+M38</f>
        <v>5937.16</v>
      </c>
      <c r="O38" s="5" t="s">
        <v>118</v>
      </c>
      <c r="P38" s="33">
        <f t="shared" si="1"/>
        <v>305.81599999999997</v>
      </c>
      <c r="Q38" s="33">
        <f t="shared" si="2"/>
        <v>330.28127999999998</v>
      </c>
    </row>
    <row r="39" spans="1:17" s="55" customFormat="1" x14ac:dyDescent="0.25">
      <c r="A39" s="5">
        <v>271</v>
      </c>
      <c r="B39" s="6" t="s">
        <v>59</v>
      </c>
      <c r="C39" s="7">
        <v>3500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3315</v>
      </c>
      <c r="I39" s="10">
        <v>150</v>
      </c>
      <c r="J39" s="10">
        <v>35</v>
      </c>
      <c r="K39" s="21"/>
      <c r="L39" s="19"/>
      <c r="M39" s="22">
        <f>C39-H39-I39+L39-K39-J39</f>
        <v>0</v>
      </c>
      <c r="N39" s="14">
        <f t="shared" si="0"/>
        <v>3315</v>
      </c>
      <c r="O39" s="5">
        <v>0.03</v>
      </c>
      <c r="P39" s="33">
        <f t="shared" si="1"/>
        <v>0</v>
      </c>
      <c r="Q39" s="33">
        <f t="shared" si="2"/>
        <v>0</v>
      </c>
    </row>
    <row r="40" spans="1:17" s="55" customFormat="1" x14ac:dyDescent="0.25">
      <c r="A40" s="5">
        <v>275</v>
      </c>
      <c r="B40" s="6" t="s">
        <v>60</v>
      </c>
      <c r="C40" s="7">
        <v>3375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3081.2</v>
      </c>
      <c r="I40" s="10">
        <v>0</v>
      </c>
      <c r="J40" s="10">
        <v>0</v>
      </c>
      <c r="K40" s="21">
        <v>293.92</v>
      </c>
      <c r="L40" s="19"/>
      <c r="M40" s="98">
        <f>C40-H40-I40+L40-K40-J40+0.12</f>
        <v>1.659783421814609E-13</v>
      </c>
      <c r="N40" s="14">
        <f t="shared" si="0"/>
        <v>3081.2</v>
      </c>
      <c r="O40" s="5">
        <v>0.03</v>
      </c>
      <c r="P40" s="33">
        <f t="shared" si="1"/>
        <v>1.659783421814609E-14</v>
      </c>
      <c r="Q40" s="33">
        <f t="shared" si="2"/>
        <v>1.7925660955597778E-14</v>
      </c>
    </row>
    <row r="41" spans="1:17" s="55" customFormat="1" x14ac:dyDescent="0.25">
      <c r="A41" s="5">
        <v>276</v>
      </c>
      <c r="B41" s="6" t="s">
        <v>61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3354.2</v>
      </c>
      <c r="I41" s="10">
        <v>300</v>
      </c>
      <c r="J41" s="10">
        <v>105</v>
      </c>
      <c r="K41" s="11"/>
      <c r="L41" s="19"/>
      <c r="M41" s="13">
        <f t="shared" si="6"/>
        <v>1240.8000000000002</v>
      </c>
      <c r="N41" s="14">
        <f t="shared" si="0"/>
        <v>4595</v>
      </c>
      <c r="O41" s="5">
        <v>0.03</v>
      </c>
      <c r="P41" s="33">
        <f t="shared" si="1"/>
        <v>124.08000000000003</v>
      </c>
      <c r="Q41" s="33">
        <f t="shared" si="2"/>
        <v>134.00640000000004</v>
      </c>
    </row>
    <row r="42" spans="1:17" s="55" customFormat="1" x14ac:dyDescent="0.25">
      <c r="A42" s="5">
        <v>279</v>
      </c>
      <c r="B42" s="6" t="s">
        <v>63</v>
      </c>
      <c r="C42" s="7">
        <v>4500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3354.4</v>
      </c>
      <c r="I42" s="10">
        <v>150</v>
      </c>
      <c r="J42" s="10">
        <v>70</v>
      </c>
      <c r="K42" s="21"/>
      <c r="L42" s="19"/>
      <c r="M42" s="22">
        <f>C42-H42-I42+L42-K42-J42</f>
        <v>925.59999999999991</v>
      </c>
      <c r="N42" s="14">
        <f t="shared" si="0"/>
        <v>4280</v>
      </c>
      <c r="O42" s="5" t="s">
        <v>118</v>
      </c>
      <c r="P42" s="33">
        <f t="shared" si="1"/>
        <v>92.56</v>
      </c>
      <c r="Q42" s="33">
        <f t="shared" si="2"/>
        <v>99.964800000000011</v>
      </c>
    </row>
    <row r="43" spans="1:17" s="55" customFormat="1" x14ac:dyDescent="0.25">
      <c r="A43" s="5">
        <v>280</v>
      </c>
      <c r="B43" s="6" t="s">
        <v>64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3354.2</v>
      </c>
      <c r="I43" s="10">
        <v>0</v>
      </c>
      <c r="J43" s="10">
        <v>0</v>
      </c>
      <c r="K43" s="11"/>
      <c r="L43" s="19"/>
      <c r="M43" s="13">
        <f t="shared" si="6"/>
        <v>1645.8000000000002</v>
      </c>
      <c r="N43" s="14">
        <f t="shared" si="0"/>
        <v>5000</v>
      </c>
      <c r="O43" s="5" t="s">
        <v>119</v>
      </c>
      <c r="P43" s="33">
        <f t="shared" si="1"/>
        <v>164.58000000000004</v>
      </c>
      <c r="Q43" s="33">
        <f t="shared" si="2"/>
        <v>177.74640000000005</v>
      </c>
    </row>
    <row r="44" spans="1:17" s="55" customFormat="1" x14ac:dyDescent="0.25">
      <c r="A44" s="5">
        <v>281</v>
      </c>
      <c r="B44" s="6" t="s">
        <v>65</v>
      </c>
      <c r="C44" s="7">
        <v>8750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3354.4</v>
      </c>
      <c r="I44" s="10">
        <v>0</v>
      </c>
      <c r="J44" s="10">
        <v>0</v>
      </c>
      <c r="K44" s="11"/>
      <c r="L44" s="19"/>
      <c r="M44" s="13">
        <f t="shared" si="6"/>
        <v>5395.6</v>
      </c>
      <c r="N44" s="14">
        <f t="shared" si="0"/>
        <v>8750</v>
      </c>
      <c r="O44" s="5">
        <v>0.03</v>
      </c>
      <c r="P44" s="33">
        <f t="shared" si="1"/>
        <v>539.56000000000006</v>
      </c>
      <c r="Q44" s="33">
        <f t="shared" si="2"/>
        <v>582.72480000000007</v>
      </c>
    </row>
    <row r="45" spans="1:17" s="55" customFormat="1" x14ac:dyDescent="0.25">
      <c r="A45" s="5">
        <v>283</v>
      </c>
      <c r="B45" s="6" t="s">
        <v>66</v>
      </c>
      <c r="C45" s="7">
        <v>5000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3354.4</v>
      </c>
      <c r="I45" s="10">
        <v>0</v>
      </c>
      <c r="J45" s="10">
        <v>35</v>
      </c>
      <c r="K45" s="21"/>
      <c r="L45" s="19"/>
      <c r="M45" s="13">
        <f t="shared" si="6"/>
        <v>1610.6</v>
      </c>
      <c r="N45" s="14">
        <f t="shared" si="0"/>
        <v>4965</v>
      </c>
      <c r="O45" s="5">
        <v>0.03</v>
      </c>
      <c r="P45" s="33">
        <f t="shared" si="1"/>
        <v>161.06</v>
      </c>
      <c r="Q45" s="33">
        <f t="shared" si="2"/>
        <v>173.94480000000001</v>
      </c>
    </row>
    <row r="46" spans="1:17" s="55" customFormat="1" x14ac:dyDescent="0.25">
      <c r="A46" s="5">
        <v>284</v>
      </c>
      <c r="B46" s="6" t="s">
        <v>67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3354.4</v>
      </c>
      <c r="I46" s="10">
        <v>0</v>
      </c>
      <c r="J46" s="10">
        <v>0</v>
      </c>
      <c r="K46" s="11"/>
      <c r="L46" s="19"/>
      <c r="M46" s="13">
        <f t="shared" si="6"/>
        <v>645.59999999999991</v>
      </c>
      <c r="N46" s="14">
        <f t="shared" si="0"/>
        <v>4000</v>
      </c>
      <c r="O46" s="5" t="s">
        <v>48</v>
      </c>
      <c r="P46" s="33">
        <f t="shared" si="1"/>
        <v>64.559999999999988</v>
      </c>
      <c r="Q46" s="33">
        <f t="shared" si="2"/>
        <v>69.724799999999988</v>
      </c>
    </row>
    <row r="47" spans="1:17" s="55" customFormat="1" x14ac:dyDescent="0.25">
      <c r="A47" s="5">
        <v>285</v>
      </c>
      <c r="B47" s="6" t="s">
        <v>68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>
        <v>0</v>
      </c>
      <c r="J47" s="10">
        <v>0</v>
      </c>
      <c r="K47" s="21"/>
      <c r="L47" s="19">
        <v>8000</v>
      </c>
      <c r="M47" s="13">
        <f>C47-H47-I47+L47-K47-J47</f>
        <v>8645.6</v>
      </c>
      <c r="N47" s="14">
        <f t="shared" si="0"/>
        <v>12000</v>
      </c>
      <c r="O47" s="5" t="s">
        <v>48</v>
      </c>
      <c r="P47" s="33">
        <f t="shared" si="1"/>
        <v>864.56000000000006</v>
      </c>
      <c r="Q47" s="33">
        <f t="shared" si="2"/>
        <v>933.72480000000007</v>
      </c>
    </row>
    <row r="48" spans="1:17" x14ac:dyDescent="0.25">
      <c r="A48" s="5">
        <v>286</v>
      </c>
      <c r="B48" s="6" t="s">
        <v>69</v>
      </c>
      <c r="C48" s="7">
        <v>4000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3354.2</v>
      </c>
      <c r="I48" s="10">
        <v>375</v>
      </c>
      <c r="J48" s="10">
        <v>0</v>
      </c>
      <c r="K48" s="11"/>
      <c r="L48" s="19">
        <v>439</v>
      </c>
      <c r="M48" s="13">
        <f t="shared" si="6"/>
        <v>709.80000000000018</v>
      </c>
      <c r="N48" s="14">
        <f t="shared" si="0"/>
        <v>4064</v>
      </c>
      <c r="O48" s="5" t="s">
        <v>118</v>
      </c>
      <c r="P48" s="33">
        <f t="shared" si="1"/>
        <v>70.980000000000018</v>
      </c>
      <c r="Q48" s="33">
        <f t="shared" si="2"/>
        <v>76.658400000000029</v>
      </c>
    </row>
    <row r="49" spans="1:18" x14ac:dyDescent="0.25">
      <c r="A49" s="5">
        <v>287</v>
      </c>
      <c r="B49" s="6" t="s">
        <v>72</v>
      </c>
      <c r="C49" s="7">
        <v>5000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>
        <v>300</v>
      </c>
      <c r="J49" s="10">
        <v>140</v>
      </c>
      <c r="K49" s="21"/>
      <c r="L49" s="19"/>
      <c r="M49" s="13">
        <f t="shared" si="6"/>
        <v>1205.8000000000002</v>
      </c>
      <c r="N49" s="14">
        <f t="shared" si="0"/>
        <v>4560</v>
      </c>
      <c r="O49" s="5" t="s">
        <v>118</v>
      </c>
      <c r="P49" s="33">
        <f t="shared" si="1"/>
        <v>120.58000000000003</v>
      </c>
      <c r="Q49" s="33">
        <f t="shared" si="2"/>
        <v>130.22640000000004</v>
      </c>
    </row>
    <row r="50" spans="1:18" x14ac:dyDescent="0.25">
      <c r="A50" s="5">
        <v>288</v>
      </c>
      <c r="B50" s="6" t="s">
        <v>73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3354.4</v>
      </c>
      <c r="I50" s="10">
        <v>0</v>
      </c>
      <c r="J50" s="10">
        <v>0</v>
      </c>
      <c r="K50" s="11"/>
      <c r="L50" s="19"/>
      <c r="M50" s="13">
        <f t="shared" si="6"/>
        <v>145.59999999999991</v>
      </c>
      <c r="N50" s="14">
        <f t="shared" si="0"/>
        <v>3500</v>
      </c>
      <c r="O50" s="5">
        <v>0.03</v>
      </c>
      <c r="P50" s="33">
        <f t="shared" si="1"/>
        <v>14.559999999999992</v>
      </c>
      <c r="Q50" s="33">
        <f t="shared" si="2"/>
        <v>15.724799999999991</v>
      </c>
    </row>
    <row r="51" spans="1:18" x14ac:dyDescent="0.25">
      <c r="A51" s="5">
        <v>289</v>
      </c>
      <c r="B51" s="6" t="s">
        <v>74</v>
      </c>
      <c r="C51" s="7">
        <v>3500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0</v>
      </c>
      <c r="J51" s="10">
        <v>0</v>
      </c>
      <c r="K51" s="11"/>
      <c r="L51" s="19"/>
      <c r="M51" s="13">
        <f t="shared" si="6"/>
        <v>145.59999999999991</v>
      </c>
      <c r="N51" s="14">
        <f t="shared" si="0"/>
        <v>3500</v>
      </c>
      <c r="O51" s="5">
        <v>0.03</v>
      </c>
      <c r="P51" s="33">
        <f t="shared" si="1"/>
        <v>14.559999999999992</v>
      </c>
      <c r="Q51" s="33">
        <f t="shared" si="2"/>
        <v>15.724799999999991</v>
      </c>
    </row>
    <row r="52" spans="1:18" x14ac:dyDescent="0.25">
      <c r="A52" s="5">
        <v>291</v>
      </c>
      <c r="B52" s="6" t="s">
        <v>78</v>
      </c>
      <c r="C52" s="7">
        <v>4250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3354.2</v>
      </c>
      <c r="I52" s="10">
        <v>0</v>
      </c>
      <c r="J52" s="10">
        <v>140</v>
      </c>
      <c r="K52" s="11"/>
      <c r="L52" s="19"/>
      <c r="M52" s="13">
        <f t="shared" si="6"/>
        <v>755.80000000000018</v>
      </c>
      <c r="N52" s="14">
        <f t="shared" si="0"/>
        <v>4110</v>
      </c>
      <c r="O52" s="5">
        <v>0.03</v>
      </c>
      <c r="P52" s="33">
        <f t="shared" si="1"/>
        <v>75.580000000000027</v>
      </c>
      <c r="Q52" s="33">
        <f t="shared" si="2"/>
        <v>81.626400000000032</v>
      </c>
    </row>
    <row r="53" spans="1:18" x14ac:dyDescent="0.25">
      <c r="A53" s="5">
        <v>293</v>
      </c>
      <c r="B53" s="6" t="s">
        <v>89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3354.4</v>
      </c>
      <c r="I53" s="10">
        <v>225</v>
      </c>
      <c r="J53" s="10">
        <v>105</v>
      </c>
      <c r="K53" s="11"/>
      <c r="L53" s="12"/>
      <c r="M53" s="13">
        <f t="shared" si="6"/>
        <v>315.59999999999991</v>
      </c>
      <c r="N53" s="14">
        <f t="shared" si="0"/>
        <v>3670</v>
      </c>
      <c r="O53" s="5">
        <v>0.03</v>
      </c>
      <c r="P53" s="33">
        <f t="shared" si="1"/>
        <v>31.559999999999992</v>
      </c>
      <c r="Q53" s="33">
        <f t="shared" si="2"/>
        <v>34.084799999999994</v>
      </c>
    </row>
    <row r="54" spans="1:18" x14ac:dyDescent="0.25">
      <c r="A54" s="5">
        <v>294</v>
      </c>
      <c r="B54" s="6" t="s">
        <v>91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3354.4</v>
      </c>
      <c r="I54" s="10">
        <v>375</v>
      </c>
      <c r="J54" s="10">
        <v>105</v>
      </c>
      <c r="K54" s="11"/>
      <c r="L54" s="12"/>
      <c r="M54" s="22">
        <f t="shared" ref="M54:M62" si="8">C54-H54-I54+L54-K54-J54+0.02</f>
        <v>165.61999999999992</v>
      </c>
      <c r="N54" s="14">
        <f t="shared" si="0"/>
        <v>3520.02</v>
      </c>
      <c r="O54" s="5">
        <v>0.03</v>
      </c>
      <c r="P54" s="33">
        <f t="shared" si="1"/>
        <v>16.561999999999994</v>
      </c>
      <c r="Q54" s="33">
        <f t="shared" si="2"/>
        <v>17.886959999999995</v>
      </c>
    </row>
    <row r="55" spans="1:18" x14ac:dyDescent="0.25">
      <c r="A55" s="5">
        <v>295</v>
      </c>
      <c r="B55" s="6" t="s">
        <v>104</v>
      </c>
      <c r="C55" s="7">
        <v>5500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3354.2</v>
      </c>
      <c r="I55" s="10">
        <v>375</v>
      </c>
      <c r="J55" s="10">
        <v>105</v>
      </c>
      <c r="K55" s="11"/>
      <c r="L55" s="12"/>
      <c r="M55" s="22">
        <f t="shared" si="8"/>
        <v>1665.8200000000002</v>
      </c>
      <c r="N55" s="14">
        <f t="shared" si="0"/>
        <v>5020.0200000000004</v>
      </c>
      <c r="O55" s="5" t="s">
        <v>118</v>
      </c>
      <c r="P55" s="33">
        <f t="shared" si="1"/>
        <v>166.58200000000002</v>
      </c>
      <c r="Q55" s="33">
        <f t="shared" si="2"/>
        <v>179.90856000000002</v>
      </c>
    </row>
    <row r="56" spans="1:18" x14ac:dyDescent="0.25">
      <c r="A56" s="5">
        <v>297</v>
      </c>
      <c r="B56" s="6" t="s">
        <v>110</v>
      </c>
      <c r="C56" s="7">
        <v>4000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3238.6</v>
      </c>
      <c r="I56" s="10">
        <v>0</v>
      </c>
      <c r="J56" s="10">
        <v>0</v>
      </c>
      <c r="K56" s="11">
        <v>251.43</v>
      </c>
      <c r="L56" s="12"/>
      <c r="M56" s="22">
        <f t="shared" si="8"/>
        <v>509.99000000000007</v>
      </c>
      <c r="N56" s="14">
        <f t="shared" si="0"/>
        <v>3748.59</v>
      </c>
      <c r="O56" s="5" t="s">
        <v>50</v>
      </c>
      <c r="P56" s="33">
        <f t="shared" si="1"/>
        <v>50.999000000000009</v>
      </c>
      <c r="Q56" s="33">
        <f t="shared" si="2"/>
        <v>55.078920000000011</v>
      </c>
    </row>
    <row r="57" spans="1:18" x14ac:dyDescent="0.25">
      <c r="A57" s="5">
        <v>298</v>
      </c>
      <c r="B57" s="6" t="s">
        <v>115</v>
      </c>
      <c r="C57" s="7">
        <v>5000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1845.6</v>
      </c>
      <c r="I57" s="10">
        <v>300</v>
      </c>
      <c r="J57" s="10">
        <v>105</v>
      </c>
      <c r="K57" s="16">
        <v>1894.86</v>
      </c>
      <c r="L57" s="12"/>
      <c r="M57" s="22">
        <f t="shared" si="8"/>
        <v>854.56000000000017</v>
      </c>
      <c r="N57" s="14">
        <f t="shared" si="0"/>
        <v>2700.16</v>
      </c>
      <c r="O57" s="5">
        <v>0.03</v>
      </c>
      <c r="P57" s="33">
        <f t="shared" si="1"/>
        <v>85.456000000000017</v>
      </c>
      <c r="Q57" s="33">
        <f t="shared" si="2"/>
        <v>92.292480000000026</v>
      </c>
    </row>
    <row r="58" spans="1:18" x14ac:dyDescent="0.25">
      <c r="A58" s="5">
        <v>299</v>
      </c>
      <c r="B58" s="6" t="s">
        <v>116</v>
      </c>
      <c r="C58" s="7">
        <v>4000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3354.2</v>
      </c>
      <c r="I58" s="10">
        <v>375</v>
      </c>
      <c r="J58" s="10">
        <v>140</v>
      </c>
      <c r="K58" s="11"/>
      <c r="L58" s="12"/>
      <c r="M58" s="22">
        <f t="shared" si="8"/>
        <v>130.82000000000019</v>
      </c>
      <c r="N58" s="14">
        <f t="shared" si="0"/>
        <v>3485.02</v>
      </c>
      <c r="O58" s="5">
        <v>0.03</v>
      </c>
      <c r="P58" s="33">
        <f t="shared" si="1"/>
        <v>13.08200000000002</v>
      </c>
      <c r="Q58" s="33">
        <f t="shared" si="2"/>
        <v>14.128560000000023</v>
      </c>
    </row>
    <row r="59" spans="1:18" x14ac:dyDescent="0.25">
      <c r="A59" s="5">
        <v>300</v>
      </c>
      <c r="B59" s="6" t="s">
        <v>121</v>
      </c>
      <c r="C59" s="7">
        <v>6250</v>
      </c>
      <c r="D59" s="7">
        <v>419.88</v>
      </c>
      <c r="E59" s="8">
        <f t="shared" si="3"/>
        <v>2519.2799999999997</v>
      </c>
      <c r="F59" s="8">
        <f t="shared" si="4"/>
        <v>419.88</v>
      </c>
      <c r="G59" s="9">
        <f t="shared" si="5"/>
        <v>2939.16</v>
      </c>
      <c r="H59" s="37">
        <v>3354.2</v>
      </c>
      <c r="I59" s="10">
        <v>0</v>
      </c>
      <c r="J59" s="10">
        <v>0</v>
      </c>
      <c r="K59" s="11"/>
      <c r="L59" s="12">
        <v>5000</v>
      </c>
      <c r="M59" s="22">
        <f t="shared" si="8"/>
        <v>7895.8200000000006</v>
      </c>
      <c r="N59" s="14">
        <f t="shared" si="0"/>
        <v>11250.02</v>
      </c>
      <c r="O59" s="5">
        <v>0.03</v>
      </c>
      <c r="P59" s="33">
        <f t="shared" si="1"/>
        <v>789.58200000000011</v>
      </c>
      <c r="Q59" s="33">
        <f t="shared" si="2"/>
        <v>852.74856000000023</v>
      </c>
    </row>
    <row r="60" spans="1:18" x14ac:dyDescent="0.25">
      <c r="A60" s="5">
        <v>301</v>
      </c>
      <c r="B60" s="6" t="s">
        <v>124</v>
      </c>
      <c r="C60" s="7">
        <v>5000</v>
      </c>
      <c r="D60" s="7">
        <v>419.88</v>
      </c>
      <c r="E60" s="8">
        <f>D60*6</f>
        <v>2519.2799999999997</v>
      </c>
      <c r="F60" s="8">
        <f t="shared" si="4"/>
        <v>419.88</v>
      </c>
      <c r="G60" s="9">
        <f>E60+F60</f>
        <v>2939.16</v>
      </c>
      <c r="H60" s="37">
        <v>3354.4</v>
      </c>
      <c r="I60" s="10">
        <v>0</v>
      </c>
      <c r="J60" s="10">
        <v>0</v>
      </c>
      <c r="K60" s="11"/>
      <c r="L60" s="12"/>
      <c r="M60" s="22">
        <f>C60-H60-I60+L60-K60-J60+0.02</f>
        <v>1645.62</v>
      </c>
      <c r="N60" s="14">
        <f>H60+M60</f>
        <v>5000.0200000000004</v>
      </c>
      <c r="O60" s="5">
        <v>0.03</v>
      </c>
      <c r="P60" s="33">
        <f>+M60*0.1</f>
        <v>164.56200000000001</v>
      </c>
      <c r="Q60" s="33">
        <f>+P60*1.08</f>
        <v>177.72696000000002</v>
      </c>
    </row>
    <row r="61" spans="1:18" x14ac:dyDescent="0.25">
      <c r="A61" s="5">
        <v>302</v>
      </c>
      <c r="B61" s="6" t="s">
        <v>128</v>
      </c>
      <c r="C61" s="7">
        <v>5000</v>
      </c>
      <c r="D61" s="7">
        <v>419.88</v>
      </c>
      <c r="E61" s="8">
        <f>D61*6</f>
        <v>2519.2799999999997</v>
      </c>
      <c r="F61" s="8">
        <f t="shared" si="4"/>
        <v>419.88</v>
      </c>
      <c r="G61" s="9">
        <f>E61+F61</f>
        <v>2939.16</v>
      </c>
      <c r="H61" s="37">
        <v>3354.4</v>
      </c>
      <c r="I61" s="10">
        <v>150</v>
      </c>
      <c r="J61" s="10">
        <v>0</v>
      </c>
      <c r="K61" s="11"/>
      <c r="L61" s="12"/>
      <c r="M61" s="22">
        <f>C61-H61-I61+L61-K61-J61+0.02</f>
        <v>1495.62</v>
      </c>
      <c r="N61" s="14">
        <f>H61+M61</f>
        <v>4850.0200000000004</v>
      </c>
      <c r="O61" s="5">
        <v>0.03</v>
      </c>
      <c r="P61" s="33">
        <f>+M61*0.1</f>
        <v>149.56199999999998</v>
      </c>
      <c r="Q61" s="33">
        <f>+P61*1.08</f>
        <v>161.52696</v>
      </c>
    </row>
    <row r="62" spans="1:18" x14ac:dyDescent="0.25">
      <c r="A62" s="5">
        <v>303</v>
      </c>
      <c r="B62" s="6" t="s">
        <v>129</v>
      </c>
      <c r="C62" s="7">
        <v>3500</v>
      </c>
      <c r="D62" s="7">
        <v>419.88</v>
      </c>
      <c r="E62" s="8">
        <f t="shared" si="3"/>
        <v>2519.2799999999997</v>
      </c>
      <c r="F62" s="8">
        <f t="shared" si="4"/>
        <v>419.88</v>
      </c>
      <c r="G62" s="9">
        <f t="shared" si="5"/>
        <v>2939.16</v>
      </c>
      <c r="H62" s="37">
        <v>3354.4</v>
      </c>
      <c r="I62" s="10">
        <v>0</v>
      </c>
      <c r="J62" s="10">
        <v>0</v>
      </c>
      <c r="K62" s="11"/>
      <c r="L62" s="12"/>
      <c r="M62" s="22">
        <f t="shared" si="8"/>
        <v>145.61999999999992</v>
      </c>
      <c r="N62" s="14">
        <f t="shared" si="0"/>
        <v>3500.02</v>
      </c>
      <c r="O62" s="5">
        <v>0.03</v>
      </c>
      <c r="P62" s="33">
        <f t="shared" si="1"/>
        <v>14.561999999999992</v>
      </c>
      <c r="Q62" s="33">
        <f t="shared" si="2"/>
        <v>15.726959999999993</v>
      </c>
    </row>
    <row r="63" spans="1:18" ht="16.149999999999999" customHeight="1" thickBot="1" x14ac:dyDescent="0.3"/>
    <row r="64" spans="1:18" ht="18" thickBot="1" x14ac:dyDescent="0.35">
      <c r="A64" s="23"/>
      <c r="B64" s="24"/>
      <c r="C64" s="25">
        <f>SUM(C4:C63)</f>
        <v>292375</v>
      </c>
      <c r="D64" s="25">
        <f t="shared" ref="D64:N64" si="9">SUM(D4:D63)</f>
        <v>24772.920000000006</v>
      </c>
      <c r="E64" s="25">
        <f t="shared" si="9"/>
        <v>146118.23999999996</v>
      </c>
      <c r="F64" s="25">
        <f t="shared" si="9"/>
        <v>24353.040000000005</v>
      </c>
      <c r="G64" s="25">
        <f t="shared" si="9"/>
        <v>170471.28000000014</v>
      </c>
      <c r="H64" s="25">
        <f>SUM(H4:H63)</f>
        <v>192105.19999999998</v>
      </c>
      <c r="I64" s="26">
        <f t="shared" si="9"/>
        <v>9375</v>
      </c>
      <c r="J64" s="26">
        <f t="shared" si="9"/>
        <v>4060</v>
      </c>
      <c r="K64" s="26">
        <f t="shared" si="9"/>
        <v>16042.550000000005</v>
      </c>
      <c r="L64" s="27">
        <f>SUM(L4:L63)</f>
        <v>15456.85</v>
      </c>
      <c r="M64" s="25">
        <f>SUM(M4:M63)</f>
        <v>94539.690000000046</v>
      </c>
      <c r="N64" s="25">
        <f t="shared" si="9"/>
        <v>286644.89000000007</v>
      </c>
      <c r="P64" s="25">
        <f>SUM(P4:P63)</f>
        <v>9453.9690000000046</v>
      </c>
      <c r="Q64" s="25">
        <f>SUM(Q4:Q63)</f>
        <v>10210.286519999998</v>
      </c>
      <c r="R64" s="55">
        <f>+N64+Q64</f>
        <v>296855.1765200001</v>
      </c>
    </row>
    <row r="65" spans="9:10" x14ac:dyDescent="0.25">
      <c r="I65" s="15">
        <f>I64/75</f>
        <v>125</v>
      </c>
      <c r="J65" s="15">
        <f>J64/35</f>
        <v>116</v>
      </c>
    </row>
  </sheetData>
  <autoFilter ref="A3:Q62" xr:uid="{00000000-0009-0000-0000-000019000000}"/>
  <mergeCells count="2">
    <mergeCell ref="A1:N1"/>
    <mergeCell ref="A2:N2"/>
  </mergeCells>
  <pageMargins left="0.25" right="0.25" top="0.75" bottom="0.75" header="0.3" footer="0.3"/>
  <pageSetup scale="51" fitToWidth="0" orientation="landscape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6D5B5-3780-41C4-96C7-0AB9AD3C612A}">
  <sheetPr codeName="Hoja33">
    <pageSetUpPr fitToPage="1"/>
  </sheetPr>
  <dimension ref="A1:R65"/>
  <sheetViews>
    <sheetView showGridLines="0" topLeftCell="C30" zoomScaleNormal="100" workbookViewId="0">
      <selection activeCell="L52" sqref="L52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130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62" si="0">H4+M4</f>
        <v>0</v>
      </c>
      <c r="O4" s="81" t="s">
        <v>48</v>
      </c>
      <c r="P4" s="82">
        <f t="shared" ref="P4:P62" si="1">+M4*0.1</f>
        <v>0</v>
      </c>
      <c r="Q4" s="82">
        <f t="shared" ref="Q4:Q62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2" si="3">D5*6</f>
        <v>2519.2799999999997</v>
      </c>
      <c r="F5" s="8">
        <f t="shared" ref="F5:F62" si="4">$D$4</f>
        <v>419.88</v>
      </c>
      <c r="G5" s="9">
        <f t="shared" ref="G5:G62" si="5">E5+F5</f>
        <v>2939.16</v>
      </c>
      <c r="H5" s="37">
        <v>3354.4</v>
      </c>
      <c r="I5" s="10">
        <v>375</v>
      </c>
      <c r="J5" s="10">
        <v>0</v>
      </c>
      <c r="K5" s="11"/>
      <c r="L5" s="19"/>
      <c r="M5" s="13">
        <f>C5-H5-I5+L5-K5-J5</f>
        <v>270.59999999999991</v>
      </c>
      <c r="N5" s="14">
        <f t="shared" si="0"/>
        <v>3625</v>
      </c>
      <c r="O5" s="29" t="s">
        <v>47</v>
      </c>
      <c r="P5" s="33">
        <f t="shared" si="1"/>
        <v>27.059999999999992</v>
      </c>
      <c r="Q5" s="33">
        <f t="shared" si="2"/>
        <v>29.224799999999991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2879</v>
      </c>
      <c r="I6" s="18">
        <v>300</v>
      </c>
      <c r="J6" s="18">
        <v>70</v>
      </c>
      <c r="K6" s="21">
        <v>2142.85</v>
      </c>
      <c r="L6" s="19"/>
      <c r="M6" s="13">
        <f t="shared" ref="M6:M52" si="6">C6-H6-I6+L6-K6-J6</f>
        <v>9608.15</v>
      </c>
      <c r="N6" s="14">
        <f>H6+M6</f>
        <v>12487.15</v>
      </c>
      <c r="O6" s="30" t="s">
        <v>118</v>
      </c>
      <c r="P6" s="33">
        <f t="shared" si="1"/>
        <v>960.81500000000005</v>
      </c>
      <c r="Q6" s="33">
        <f t="shared" si="2"/>
        <v>1037.6802000000002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3354.2</v>
      </c>
      <c r="I7" s="10">
        <v>300</v>
      </c>
      <c r="J7" s="10">
        <v>175</v>
      </c>
      <c r="K7" s="21"/>
      <c r="L7" s="19"/>
      <c r="M7" s="13">
        <f t="shared" si="6"/>
        <v>1170.8000000000002</v>
      </c>
      <c r="N7" s="14">
        <f t="shared" si="0"/>
        <v>4525</v>
      </c>
      <c r="O7" s="36" t="s">
        <v>118</v>
      </c>
      <c r="P7" s="33">
        <f t="shared" si="1"/>
        <v>117.08000000000003</v>
      </c>
      <c r="Q7" s="33">
        <f t="shared" si="2"/>
        <v>126.44640000000004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375</v>
      </c>
      <c r="J8" s="10">
        <v>140</v>
      </c>
      <c r="K8" s="11"/>
      <c r="L8" s="12"/>
      <c r="M8" s="13">
        <f t="shared" si="6"/>
        <v>630.59999999999991</v>
      </c>
      <c r="N8" s="14">
        <f t="shared" si="0"/>
        <v>3985</v>
      </c>
      <c r="O8" s="30" t="s">
        <v>118</v>
      </c>
      <c r="P8" s="33">
        <f t="shared" si="1"/>
        <v>63.059999999999995</v>
      </c>
      <c r="Q8" s="33">
        <f t="shared" si="2"/>
        <v>68.104799999999997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3354.2</v>
      </c>
      <c r="I9" s="10">
        <v>225</v>
      </c>
      <c r="J9" s="10">
        <v>35</v>
      </c>
      <c r="K9" s="21"/>
      <c r="L9" s="12">
        <v>5000</v>
      </c>
      <c r="M9" s="22">
        <f t="shared" si="6"/>
        <v>5385.8</v>
      </c>
      <c r="N9" s="14">
        <f t="shared" si="0"/>
        <v>8740</v>
      </c>
      <c r="O9" s="30" t="s">
        <v>47</v>
      </c>
      <c r="P9" s="33">
        <f t="shared" si="1"/>
        <v>538.58000000000004</v>
      </c>
      <c r="Q9" s="33">
        <f t="shared" si="2"/>
        <v>581.66640000000007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0</v>
      </c>
      <c r="I10" s="10">
        <v>0</v>
      </c>
      <c r="J10" s="10">
        <v>0</v>
      </c>
      <c r="K10" s="100"/>
      <c r="L10" s="19">
        <v>276.5</v>
      </c>
      <c r="M10" s="101">
        <f>L10</f>
        <v>276.5</v>
      </c>
      <c r="N10" s="14">
        <f t="shared" si="0"/>
        <v>276.5</v>
      </c>
      <c r="O10" s="30" t="s">
        <v>49</v>
      </c>
      <c r="P10" s="33">
        <f t="shared" si="1"/>
        <v>27.650000000000002</v>
      </c>
      <c r="Q10" s="33">
        <f t="shared" si="2"/>
        <v>29.862000000000005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3354.2</v>
      </c>
      <c r="I11" s="10">
        <v>75</v>
      </c>
      <c r="J11" s="10">
        <v>0</v>
      </c>
      <c r="K11" s="11"/>
      <c r="L11" s="12"/>
      <c r="M11" s="13">
        <f t="shared" si="6"/>
        <v>3570.8</v>
      </c>
      <c r="N11" s="14">
        <f t="shared" si="0"/>
        <v>6925</v>
      </c>
      <c r="O11" s="30" t="s">
        <v>118</v>
      </c>
      <c r="P11" s="33">
        <f t="shared" si="1"/>
        <v>357.08000000000004</v>
      </c>
      <c r="Q11" s="33">
        <f t="shared" si="2"/>
        <v>385.64640000000009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3354.4</v>
      </c>
      <c r="I12" s="10">
        <v>0</v>
      </c>
      <c r="J12" s="10">
        <v>105</v>
      </c>
      <c r="K12" s="11"/>
      <c r="L12" s="12"/>
      <c r="M12" s="13">
        <f t="shared" si="6"/>
        <v>1540.6</v>
      </c>
      <c r="N12" s="14">
        <f t="shared" si="0"/>
        <v>4895</v>
      </c>
      <c r="O12" s="30">
        <v>0.03</v>
      </c>
      <c r="P12" s="33">
        <f t="shared" si="1"/>
        <v>154.06</v>
      </c>
      <c r="Q12" s="33">
        <f t="shared" si="2"/>
        <v>166.38480000000001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3354.4</v>
      </c>
      <c r="I13" s="10">
        <v>0</v>
      </c>
      <c r="J13" s="10">
        <v>105</v>
      </c>
      <c r="K13" s="21"/>
      <c r="L13" s="19"/>
      <c r="M13" s="13">
        <f t="shared" si="6"/>
        <v>40.599999999999909</v>
      </c>
      <c r="N13" s="14">
        <f t="shared" si="0"/>
        <v>3395</v>
      </c>
      <c r="O13" s="30">
        <v>0.03</v>
      </c>
      <c r="P13" s="33">
        <f t="shared" si="1"/>
        <v>4.0599999999999907</v>
      </c>
      <c r="Q13" s="33">
        <f t="shared" si="2"/>
        <v>4.3847999999999905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2879</v>
      </c>
      <c r="I14" s="10">
        <v>75</v>
      </c>
      <c r="J14" s="10">
        <v>35</v>
      </c>
      <c r="K14" s="21">
        <v>587.84</v>
      </c>
      <c r="L14" s="19"/>
      <c r="M14" s="22">
        <f t="shared" si="6"/>
        <v>423.15999999999997</v>
      </c>
      <c r="N14" s="14">
        <f t="shared" si="0"/>
        <v>3302.16</v>
      </c>
      <c r="O14" s="36" t="s">
        <v>50</v>
      </c>
      <c r="P14" s="33">
        <f t="shared" si="1"/>
        <v>42.316000000000003</v>
      </c>
      <c r="Q14" s="33">
        <f t="shared" si="2"/>
        <v>45.701280000000004</v>
      </c>
    </row>
    <row r="15" spans="1:17" x14ac:dyDescent="0.25">
      <c r="A15" s="5">
        <v>150</v>
      </c>
      <c r="B15" s="6" t="s">
        <v>24</v>
      </c>
      <c r="C15" s="7">
        <v>5000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>
        <v>0</v>
      </c>
      <c r="J15" s="10">
        <v>0</v>
      </c>
      <c r="K15" s="21"/>
      <c r="L15" s="19"/>
      <c r="M15" s="13">
        <f t="shared" si="6"/>
        <v>1645.6</v>
      </c>
      <c r="N15" s="14">
        <f t="shared" si="0"/>
        <v>5000</v>
      </c>
      <c r="O15" s="30" t="s">
        <v>47</v>
      </c>
      <c r="P15" s="33">
        <f t="shared" si="1"/>
        <v>164.56</v>
      </c>
      <c r="Q15" s="33">
        <f t="shared" si="2"/>
        <v>177.72480000000002</v>
      </c>
    </row>
    <row r="16" spans="1:17" x14ac:dyDescent="0.25">
      <c r="A16" s="5">
        <v>151</v>
      </c>
      <c r="B16" s="6" t="s">
        <v>25</v>
      </c>
      <c r="C16" s="7">
        <v>4500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3354.4</v>
      </c>
      <c r="I16" s="10">
        <v>150</v>
      </c>
      <c r="J16" s="10">
        <v>0</v>
      </c>
      <c r="K16" s="21"/>
      <c r="L16" s="12"/>
      <c r="M16" s="13">
        <f>C16-H16-I16+L16-K16-J16</f>
        <v>995.59999999999991</v>
      </c>
      <c r="N16" s="14">
        <f t="shared" si="0"/>
        <v>4350</v>
      </c>
      <c r="O16" s="29">
        <v>0.03</v>
      </c>
      <c r="P16" s="33">
        <f t="shared" si="1"/>
        <v>99.56</v>
      </c>
      <c r="Q16" s="33">
        <f t="shared" si="2"/>
        <v>107.52480000000001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2879</v>
      </c>
      <c r="I17" s="10">
        <v>0</v>
      </c>
      <c r="J17" s="10">
        <v>0</v>
      </c>
      <c r="K17" s="21">
        <v>587.84</v>
      </c>
      <c r="L17" s="19"/>
      <c r="M17" s="13">
        <f t="shared" si="6"/>
        <v>533.16</v>
      </c>
      <c r="N17" s="14">
        <f t="shared" si="0"/>
        <v>3412.16</v>
      </c>
      <c r="O17" s="29" t="s">
        <v>48</v>
      </c>
      <c r="P17" s="33">
        <f t="shared" si="1"/>
        <v>53.316000000000003</v>
      </c>
      <c r="Q17" s="33">
        <f t="shared" si="2"/>
        <v>57.581280000000007</v>
      </c>
    </row>
    <row r="18" spans="1:17" x14ac:dyDescent="0.25">
      <c r="A18" s="5">
        <v>162</v>
      </c>
      <c r="B18" s="6" t="s">
        <v>27</v>
      </c>
      <c r="C18" s="7">
        <v>4500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3354.4</v>
      </c>
      <c r="I18" s="10">
        <v>375</v>
      </c>
      <c r="J18" s="10">
        <v>70</v>
      </c>
      <c r="K18" s="21"/>
      <c r="L18" s="19"/>
      <c r="M18" s="13">
        <f t="shared" si="6"/>
        <v>700.59999999999991</v>
      </c>
      <c r="N18" s="14">
        <f t="shared" si="0"/>
        <v>4055</v>
      </c>
      <c r="O18" s="29">
        <v>0.03</v>
      </c>
      <c r="P18" s="33">
        <f t="shared" si="1"/>
        <v>70.059999999999988</v>
      </c>
      <c r="Q18" s="33">
        <f t="shared" si="2"/>
        <v>75.664799999999985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2390.8000000000002</v>
      </c>
      <c r="I19" s="10">
        <v>0</v>
      </c>
      <c r="J19" s="10">
        <v>0</v>
      </c>
      <c r="K19" s="16">
        <f>2010.92+580</f>
        <v>2590.92</v>
      </c>
      <c r="L19" s="12"/>
      <c r="M19" s="13">
        <f t="shared" si="6"/>
        <v>5018.28</v>
      </c>
      <c r="N19" s="14">
        <f t="shared" si="0"/>
        <v>7409.08</v>
      </c>
      <c r="O19" s="29" t="s">
        <v>50</v>
      </c>
      <c r="P19" s="33">
        <f t="shared" si="1"/>
        <v>501.82799999999997</v>
      </c>
      <c r="Q19" s="33">
        <f t="shared" si="2"/>
        <v>541.97424000000001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3354.2</v>
      </c>
      <c r="I20" s="10">
        <v>375</v>
      </c>
      <c r="J20" s="10">
        <v>140</v>
      </c>
      <c r="K20" s="21"/>
      <c r="L20" s="19"/>
      <c r="M20" s="13">
        <f t="shared" si="6"/>
        <v>4130.8</v>
      </c>
      <c r="N20" s="14">
        <f t="shared" si="0"/>
        <v>7485</v>
      </c>
      <c r="O20" s="29">
        <v>0.03</v>
      </c>
      <c r="P20" s="33">
        <f t="shared" si="1"/>
        <v>413.08000000000004</v>
      </c>
      <c r="Q20" s="33">
        <f t="shared" si="2"/>
        <v>446.12640000000005</v>
      </c>
    </row>
    <row r="21" spans="1:17" s="55" customFormat="1" ht="13.5" customHeight="1" x14ac:dyDescent="0.25">
      <c r="A21" s="5">
        <v>204</v>
      </c>
      <c r="B21" s="6" t="s">
        <v>33</v>
      </c>
      <c r="C21" s="7">
        <v>5000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>
        <v>225</v>
      </c>
      <c r="J21" s="10">
        <v>105</v>
      </c>
      <c r="K21" s="11"/>
      <c r="L21" s="19"/>
      <c r="M21" s="13">
        <f t="shared" si="6"/>
        <v>1315.6</v>
      </c>
      <c r="N21" s="14">
        <f t="shared" si="0"/>
        <v>4670</v>
      </c>
      <c r="O21" s="29" t="s">
        <v>118</v>
      </c>
      <c r="P21" s="33">
        <f t="shared" si="1"/>
        <v>131.56</v>
      </c>
      <c r="Q21" s="33">
        <f t="shared" si="2"/>
        <v>142.0848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0</v>
      </c>
      <c r="J22" s="10">
        <v>0</v>
      </c>
      <c r="K22" s="11"/>
      <c r="L22" s="12"/>
      <c r="M22" s="13">
        <f t="shared" si="6"/>
        <v>645.59999999999991</v>
      </c>
      <c r="N22" s="14">
        <f t="shared" si="0"/>
        <v>4000</v>
      </c>
      <c r="O22" s="29" t="s">
        <v>50</v>
      </c>
      <c r="P22" s="33">
        <f t="shared" si="1"/>
        <v>64.559999999999988</v>
      </c>
      <c r="Q22" s="33">
        <f t="shared" si="2"/>
        <v>69.724799999999988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3354.2</v>
      </c>
      <c r="I23" s="10">
        <v>300</v>
      </c>
      <c r="J23" s="10">
        <v>35</v>
      </c>
      <c r="K23" s="21"/>
      <c r="L23" s="19"/>
      <c r="M23" s="13">
        <f t="shared" si="6"/>
        <v>1310.8000000000002</v>
      </c>
      <c r="N23" s="14">
        <f t="shared" si="0"/>
        <v>4665</v>
      </c>
      <c r="O23" s="29" t="s">
        <v>118</v>
      </c>
      <c r="P23" s="33">
        <f t="shared" si="1"/>
        <v>131.08000000000001</v>
      </c>
      <c r="Q23" s="33">
        <f t="shared" si="2"/>
        <v>141.56640000000002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3354.2</v>
      </c>
      <c r="I24" s="10">
        <v>0</v>
      </c>
      <c r="J24" s="10">
        <v>0</v>
      </c>
      <c r="K24" s="12"/>
      <c r="L24" s="12"/>
      <c r="M24" s="13">
        <f t="shared" si="6"/>
        <v>145.80000000000018</v>
      </c>
      <c r="N24" s="14">
        <f t="shared" si="0"/>
        <v>3500</v>
      </c>
      <c r="O24" s="29" t="s">
        <v>49</v>
      </c>
      <c r="P24" s="33">
        <f t="shared" si="1"/>
        <v>14.58000000000002</v>
      </c>
      <c r="Q24" s="33">
        <f t="shared" si="2"/>
        <v>15.746400000000023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2744</v>
      </c>
      <c r="I25" s="10">
        <v>150</v>
      </c>
      <c r="J25" s="10">
        <v>105</v>
      </c>
      <c r="K25" s="16">
        <v>610.33000000000004</v>
      </c>
      <c r="L25" s="12"/>
      <c r="M25" s="22">
        <f>C25-H25-I25+L25-K25-J25</f>
        <v>390.66999999999996</v>
      </c>
      <c r="N25" s="14">
        <f t="shared" si="0"/>
        <v>3134.67</v>
      </c>
      <c r="O25" s="36">
        <v>0.03</v>
      </c>
      <c r="P25" s="33">
        <f t="shared" si="1"/>
        <v>39.067</v>
      </c>
      <c r="Q25" s="33">
        <f t="shared" si="2"/>
        <v>42.192360000000001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3354.4</v>
      </c>
      <c r="I26" s="10">
        <v>375</v>
      </c>
      <c r="J26" s="10">
        <v>105</v>
      </c>
      <c r="K26" s="21"/>
      <c r="L26" s="12"/>
      <c r="M26" s="13">
        <f t="shared" si="6"/>
        <v>1165.5999999999999</v>
      </c>
      <c r="N26" s="14">
        <f t="shared" si="0"/>
        <v>4520</v>
      </c>
      <c r="O26" s="29">
        <v>0.03</v>
      </c>
      <c r="P26" s="33">
        <f t="shared" si="1"/>
        <v>116.56</v>
      </c>
      <c r="Q26" s="33">
        <f t="shared" si="2"/>
        <v>125.88480000000001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2681.2</v>
      </c>
      <c r="I27" s="10">
        <v>375</v>
      </c>
      <c r="J27" s="10">
        <v>175</v>
      </c>
      <c r="K27" s="16">
        <v>1538.46</v>
      </c>
      <c r="L27" s="19"/>
      <c r="M27" s="13">
        <f t="shared" si="6"/>
        <v>3230.34</v>
      </c>
      <c r="N27" s="14">
        <f t="shared" si="0"/>
        <v>5911.54</v>
      </c>
      <c r="O27" s="29" t="s">
        <v>118</v>
      </c>
      <c r="P27" s="33">
        <f t="shared" si="1"/>
        <v>323.03400000000005</v>
      </c>
      <c r="Q27" s="33">
        <f t="shared" si="2"/>
        <v>348.87672000000009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3354.4</v>
      </c>
      <c r="I28" s="10">
        <v>375</v>
      </c>
      <c r="J28" s="10">
        <v>140</v>
      </c>
      <c r="K28" s="21"/>
      <c r="L28" s="12"/>
      <c r="M28" s="13">
        <f t="shared" si="6"/>
        <v>2130.6</v>
      </c>
      <c r="N28" s="14">
        <f t="shared" si="0"/>
        <v>5485</v>
      </c>
      <c r="O28" s="29" t="s">
        <v>118</v>
      </c>
      <c r="P28" s="33">
        <f t="shared" si="1"/>
        <v>213.06</v>
      </c>
      <c r="Q28" s="33">
        <f t="shared" si="2"/>
        <v>230.10480000000001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3354.2</v>
      </c>
      <c r="I29" s="10">
        <v>375</v>
      </c>
      <c r="J29" s="10">
        <v>105</v>
      </c>
      <c r="K29" s="21"/>
      <c r="L29" s="19"/>
      <c r="M29" s="13">
        <f t="shared" si="6"/>
        <v>2415.8000000000002</v>
      </c>
      <c r="N29" s="14">
        <f t="shared" si="0"/>
        <v>5770</v>
      </c>
      <c r="O29" s="31" t="s">
        <v>118</v>
      </c>
      <c r="P29" s="33">
        <f t="shared" si="1"/>
        <v>241.58000000000004</v>
      </c>
      <c r="Q29" s="33">
        <f t="shared" si="2"/>
        <v>260.90640000000008</v>
      </c>
    </row>
    <row r="30" spans="1:17" s="114" customFormat="1" x14ac:dyDescent="0.25">
      <c r="A30" s="42">
        <v>237</v>
      </c>
      <c r="B30" s="43" t="s">
        <v>43</v>
      </c>
      <c r="C30" s="44">
        <v>5000</v>
      </c>
      <c r="D30" s="44">
        <v>419.88</v>
      </c>
      <c r="E30" s="45">
        <f t="shared" si="3"/>
        <v>2519.2799999999997</v>
      </c>
      <c r="F30" s="45">
        <f t="shared" si="4"/>
        <v>419.88</v>
      </c>
      <c r="G30" s="46">
        <f t="shared" si="5"/>
        <v>2939.16</v>
      </c>
      <c r="H30" s="47">
        <v>11453.8</v>
      </c>
      <c r="I30" s="48">
        <v>0</v>
      </c>
      <c r="J30" s="48">
        <v>0</v>
      </c>
      <c r="K30" s="52"/>
      <c r="L30" s="50"/>
      <c r="M30" s="51"/>
      <c r="N30" s="52">
        <f>H30+M30</f>
        <v>11453.8</v>
      </c>
      <c r="O30" s="53" t="s">
        <v>118</v>
      </c>
      <c r="P30" s="54">
        <f>+M30*0.1</f>
        <v>0</v>
      </c>
      <c r="Q30" s="54">
        <f t="shared" si="2"/>
        <v>0</v>
      </c>
    </row>
    <row r="31" spans="1:17" s="55" customFormat="1" x14ac:dyDescent="0.25">
      <c r="A31" s="5">
        <v>244</v>
      </c>
      <c r="B31" s="6" t="s">
        <v>44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3354.2</v>
      </c>
      <c r="I31" s="10">
        <v>300</v>
      </c>
      <c r="J31" s="10">
        <v>70</v>
      </c>
      <c r="K31" s="21"/>
      <c r="L31" s="12"/>
      <c r="M31" s="13">
        <f>C31-H31-I31+L31-K31-J31</f>
        <v>1275.8000000000002</v>
      </c>
      <c r="N31" s="14">
        <f t="shared" si="0"/>
        <v>4630</v>
      </c>
      <c r="O31" s="29">
        <v>0.03</v>
      </c>
      <c r="P31" s="33">
        <f t="shared" si="1"/>
        <v>127.58000000000003</v>
      </c>
      <c r="Q31" s="33">
        <f t="shared" si="2"/>
        <v>137.78640000000004</v>
      </c>
    </row>
    <row r="32" spans="1:17" s="55" customFormat="1" x14ac:dyDescent="0.25">
      <c r="A32" s="5">
        <v>245</v>
      </c>
      <c r="B32" s="6" t="s">
        <v>45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0</v>
      </c>
      <c r="J32" s="10">
        <v>0</v>
      </c>
      <c r="K32" s="11"/>
      <c r="L32" s="19"/>
      <c r="M32" s="13">
        <f t="shared" si="6"/>
        <v>1645.6</v>
      </c>
      <c r="N32" s="14">
        <f>H32+M32</f>
        <v>5000</v>
      </c>
      <c r="O32" s="34" t="s">
        <v>47</v>
      </c>
      <c r="P32" s="33">
        <f t="shared" si="1"/>
        <v>164.56</v>
      </c>
      <c r="Q32" s="33">
        <f t="shared" si="2"/>
        <v>177.72480000000002</v>
      </c>
    </row>
    <row r="33" spans="1:17" s="55" customFormat="1" x14ac:dyDescent="0.25">
      <c r="A33" s="5">
        <v>252</v>
      </c>
      <c r="B33" s="6" t="s">
        <v>53</v>
      </c>
      <c r="C33" s="7">
        <v>5000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3354.2</v>
      </c>
      <c r="I33" s="10">
        <v>150</v>
      </c>
      <c r="J33" s="10">
        <v>70</v>
      </c>
      <c r="K33" s="21"/>
      <c r="L33" s="12"/>
      <c r="M33" s="22">
        <f>C33-H33-I33+L33-K33-J33</f>
        <v>1425.8000000000002</v>
      </c>
      <c r="N33" s="14">
        <f t="shared" si="0"/>
        <v>4780</v>
      </c>
      <c r="O33" s="5">
        <v>0.03</v>
      </c>
      <c r="P33" s="33">
        <f t="shared" si="1"/>
        <v>142.58000000000001</v>
      </c>
      <c r="Q33" s="33">
        <f t="shared" si="2"/>
        <v>153.98640000000003</v>
      </c>
    </row>
    <row r="34" spans="1:17" s="55" customFormat="1" x14ac:dyDescent="0.25">
      <c r="A34" s="5">
        <v>260</v>
      </c>
      <c r="B34" s="6" t="s">
        <v>54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3354.4</v>
      </c>
      <c r="I34" s="10">
        <v>0</v>
      </c>
      <c r="J34" s="10">
        <v>0</v>
      </c>
      <c r="K34" s="11"/>
      <c r="L34" s="19"/>
      <c r="M34" s="13">
        <f t="shared" si="6"/>
        <v>1645.6</v>
      </c>
      <c r="N34" s="14">
        <f t="shared" si="0"/>
        <v>5000</v>
      </c>
      <c r="O34" s="5" t="s">
        <v>48</v>
      </c>
      <c r="P34" s="33">
        <f t="shared" si="1"/>
        <v>164.56</v>
      </c>
      <c r="Q34" s="33">
        <f t="shared" si="2"/>
        <v>177.72480000000002</v>
      </c>
    </row>
    <row r="35" spans="1:17" s="55" customFormat="1" x14ac:dyDescent="0.25">
      <c r="A35" s="5">
        <v>261</v>
      </c>
      <c r="B35" s="6" t="s">
        <v>55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2385.6</v>
      </c>
      <c r="I35" s="10">
        <v>225</v>
      </c>
      <c r="J35" s="10">
        <v>105</v>
      </c>
      <c r="K35" s="16">
        <v>898.62</v>
      </c>
      <c r="L35" s="19"/>
      <c r="M35" s="13">
        <f t="shared" si="6"/>
        <v>385.78000000000009</v>
      </c>
      <c r="N35" s="14">
        <f t="shared" si="0"/>
        <v>2771.38</v>
      </c>
      <c r="O35" s="5">
        <v>0.03</v>
      </c>
      <c r="P35" s="33">
        <f t="shared" si="1"/>
        <v>38.57800000000001</v>
      </c>
      <c r="Q35" s="33">
        <f t="shared" si="2"/>
        <v>41.664240000000014</v>
      </c>
    </row>
    <row r="36" spans="1:17" s="55" customFormat="1" x14ac:dyDescent="0.25">
      <c r="A36" s="5">
        <v>267</v>
      </c>
      <c r="B36" s="6" t="s">
        <v>56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2379.1999999999998</v>
      </c>
      <c r="I36" s="10">
        <v>375</v>
      </c>
      <c r="J36" s="10">
        <v>105</v>
      </c>
      <c r="K36" s="16">
        <v>1018.03</v>
      </c>
      <c r="L36" s="12">
        <v>585.69000000000005</v>
      </c>
      <c r="M36" s="13">
        <f t="shared" si="6"/>
        <v>1708.4600000000003</v>
      </c>
      <c r="N36" s="14">
        <f t="shared" si="0"/>
        <v>4087.66</v>
      </c>
      <c r="O36" s="5" t="s">
        <v>47</v>
      </c>
      <c r="P36" s="33">
        <f t="shared" si="1"/>
        <v>170.84600000000003</v>
      </c>
      <c r="Q36" s="33">
        <f t="shared" si="2"/>
        <v>184.51368000000005</v>
      </c>
    </row>
    <row r="37" spans="1:17" s="55" customFormat="1" x14ac:dyDescent="0.25">
      <c r="A37" s="5">
        <v>269</v>
      </c>
      <c r="B37" s="6" t="s">
        <v>58</v>
      </c>
      <c r="C37" s="7">
        <v>7000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3120.4</v>
      </c>
      <c r="I37" s="10">
        <v>225</v>
      </c>
      <c r="J37" s="10">
        <v>70</v>
      </c>
      <c r="K37" s="21">
        <v>293.92</v>
      </c>
      <c r="L37" s="19"/>
      <c r="M37" s="13">
        <f t="shared" si="6"/>
        <v>3290.68</v>
      </c>
      <c r="N37" s="14">
        <f>H37+M37</f>
        <v>6411.08</v>
      </c>
      <c r="O37" s="5" t="s">
        <v>118</v>
      </c>
      <c r="P37" s="33">
        <f t="shared" si="1"/>
        <v>329.06799999999998</v>
      </c>
      <c r="Q37" s="33">
        <f t="shared" si="2"/>
        <v>355.39344</v>
      </c>
    </row>
    <row r="38" spans="1:17" s="55" customFormat="1" x14ac:dyDescent="0.25">
      <c r="A38" s="5">
        <v>271</v>
      </c>
      <c r="B38" s="6" t="s">
        <v>59</v>
      </c>
      <c r="C38" s="7">
        <v>3500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3090</v>
      </c>
      <c r="I38" s="10">
        <v>375</v>
      </c>
      <c r="J38" s="10">
        <v>35</v>
      </c>
      <c r="K38" s="21"/>
      <c r="L38" s="19"/>
      <c r="M38" s="22">
        <f>C38-H38-I38+L38-K38-J38</f>
        <v>0</v>
      </c>
      <c r="N38" s="14">
        <f t="shared" si="0"/>
        <v>3090</v>
      </c>
      <c r="O38" s="5">
        <v>0.03</v>
      </c>
      <c r="P38" s="33">
        <f t="shared" si="1"/>
        <v>0</v>
      </c>
      <c r="Q38" s="33">
        <f t="shared" si="2"/>
        <v>0</v>
      </c>
    </row>
    <row r="39" spans="1:17" s="55" customFormat="1" x14ac:dyDescent="0.25">
      <c r="A39" s="5">
        <v>275</v>
      </c>
      <c r="B39" s="6" t="s">
        <v>60</v>
      </c>
      <c r="C39" s="7">
        <v>3375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2787.2</v>
      </c>
      <c r="I39" s="10">
        <v>0</v>
      </c>
      <c r="J39" s="10">
        <v>0</v>
      </c>
      <c r="K39" s="21">
        <v>587.84</v>
      </c>
      <c r="L39" s="19"/>
      <c r="M39" s="98">
        <f>C39-H39-I39+L39-K39-J39+0.04</f>
        <v>1.5006745845980163E-13</v>
      </c>
      <c r="N39" s="14">
        <f t="shared" si="0"/>
        <v>2787.2</v>
      </c>
      <c r="O39" s="5">
        <v>0.03</v>
      </c>
      <c r="P39" s="33">
        <f t="shared" si="1"/>
        <v>1.5006745845980165E-14</v>
      </c>
      <c r="Q39" s="33">
        <f t="shared" si="2"/>
        <v>1.6207285513658578E-14</v>
      </c>
    </row>
    <row r="40" spans="1:17" s="55" customFormat="1" x14ac:dyDescent="0.25">
      <c r="A40" s="5">
        <v>276</v>
      </c>
      <c r="B40" s="6" t="s">
        <v>61</v>
      </c>
      <c r="C40" s="7">
        <v>5000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3354.4</v>
      </c>
      <c r="I40" s="10">
        <v>375</v>
      </c>
      <c r="J40" s="10">
        <v>70</v>
      </c>
      <c r="K40" s="11"/>
      <c r="L40" s="19"/>
      <c r="M40" s="13">
        <f t="shared" si="6"/>
        <v>1200.5999999999999</v>
      </c>
      <c r="N40" s="14">
        <f t="shared" si="0"/>
        <v>4555</v>
      </c>
      <c r="O40" s="5">
        <v>0.03</v>
      </c>
      <c r="P40" s="33">
        <f t="shared" si="1"/>
        <v>120.06</v>
      </c>
      <c r="Q40" s="33">
        <f t="shared" si="2"/>
        <v>129.66480000000001</v>
      </c>
    </row>
    <row r="41" spans="1:17" s="55" customFormat="1" x14ac:dyDescent="0.25">
      <c r="A41" s="5">
        <v>279</v>
      </c>
      <c r="B41" s="6" t="s">
        <v>63</v>
      </c>
      <c r="C41" s="7">
        <v>4500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3354.4</v>
      </c>
      <c r="I41" s="10">
        <v>150</v>
      </c>
      <c r="J41" s="10">
        <v>70</v>
      </c>
      <c r="K41" s="21"/>
      <c r="L41" s="19"/>
      <c r="M41" s="22">
        <f>C41-H41-I41+L41-K41-J41</f>
        <v>925.59999999999991</v>
      </c>
      <c r="N41" s="14">
        <f t="shared" si="0"/>
        <v>4280</v>
      </c>
      <c r="O41" s="5" t="s">
        <v>118</v>
      </c>
      <c r="P41" s="33">
        <f t="shared" si="1"/>
        <v>92.56</v>
      </c>
      <c r="Q41" s="33">
        <f t="shared" si="2"/>
        <v>99.964800000000011</v>
      </c>
    </row>
    <row r="42" spans="1:17" s="55" customFormat="1" x14ac:dyDescent="0.25">
      <c r="A42" s="5">
        <v>280</v>
      </c>
      <c r="B42" s="6" t="s">
        <v>64</v>
      </c>
      <c r="C42" s="7">
        <v>5000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3354.4</v>
      </c>
      <c r="I42" s="10">
        <v>0</v>
      </c>
      <c r="J42" s="10">
        <v>0</v>
      </c>
      <c r="K42" s="11"/>
      <c r="L42" s="19"/>
      <c r="M42" s="13">
        <f t="shared" si="6"/>
        <v>1645.6</v>
      </c>
      <c r="N42" s="14">
        <f t="shared" si="0"/>
        <v>5000</v>
      </c>
      <c r="O42" s="5" t="s">
        <v>119</v>
      </c>
      <c r="P42" s="33">
        <f t="shared" si="1"/>
        <v>164.56</v>
      </c>
      <c r="Q42" s="33">
        <f t="shared" si="2"/>
        <v>177.72480000000002</v>
      </c>
    </row>
    <row r="43" spans="1:17" s="55" customFormat="1" x14ac:dyDescent="0.25">
      <c r="A43" s="5">
        <v>281</v>
      </c>
      <c r="B43" s="6" t="s">
        <v>65</v>
      </c>
      <c r="C43" s="7">
        <v>8750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0</v>
      </c>
      <c r="J43" s="10">
        <v>0</v>
      </c>
      <c r="K43" s="11"/>
      <c r="L43" s="19"/>
      <c r="M43" s="13">
        <f t="shared" si="6"/>
        <v>5395.6</v>
      </c>
      <c r="N43" s="14">
        <f t="shared" si="0"/>
        <v>8750</v>
      </c>
      <c r="O43" s="5">
        <v>0.03</v>
      </c>
      <c r="P43" s="33">
        <f t="shared" si="1"/>
        <v>539.56000000000006</v>
      </c>
      <c r="Q43" s="33">
        <f t="shared" si="2"/>
        <v>582.72480000000007</v>
      </c>
    </row>
    <row r="44" spans="1:17" s="55" customFormat="1" x14ac:dyDescent="0.25">
      <c r="A44" s="5">
        <v>283</v>
      </c>
      <c r="B44" s="6" t="s">
        <v>66</v>
      </c>
      <c r="C44" s="7">
        <v>5000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3393.2</v>
      </c>
      <c r="I44" s="10">
        <v>75</v>
      </c>
      <c r="J44" s="10">
        <v>70</v>
      </c>
      <c r="K44" s="21"/>
      <c r="L44" s="12">
        <v>178.57</v>
      </c>
      <c r="M44" s="13">
        <f t="shared" si="6"/>
        <v>1640.3700000000001</v>
      </c>
      <c r="N44" s="14">
        <f t="shared" si="0"/>
        <v>5033.57</v>
      </c>
      <c r="O44" s="5">
        <v>0.03</v>
      </c>
      <c r="P44" s="33">
        <f t="shared" si="1"/>
        <v>164.03700000000003</v>
      </c>
      <c r="Q44" s="33">
        <f t="shared" si="2"/>
        <v>177.15996000000004</v>
      </c>
    </row>
    <row r="45" spans="1:17" s="55" customFormat="1" x14ac:dyDescent="0.25">
      <c r="A45" s="5">
        <v>284</v>
      </c>
      <c r="B45" s="6" t="s">
        <v>67</v>
      </c>
      <c r="C45" s="7">
        <v>4000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3354.2</v>
      </c>
      <c r="I45" s="10">
        <v>0</v>
      </c>
      <c r="J45" s="10">
        <v>0</v>
      </c>
      <c r="K45" s="11"/>
      <c r="L45" s="19"/>
      <c r="M45" s="13">
        <f t="shared" si="6"/>
        <v>645.80000000000018</v>
      </c>
      <c r="N45" s="14">
        <f t="shared" si="0"/>
        <v>4000</v>
      </c>
      <c r="O45" s="5" t="s">
        <v>48</v>
      </c>
      <c r="P45" s="33">
        <f t="shared" si="1"/>
        <v>64.580000000000027</v>
      </c>
      <c r="Q45" s="33">
        <f t="shared" si="2"/>
        <v>69.746400000000037</v>
      </c>
    </row>
    <row r="46" spans="1:17" s="55" customFormat="1" x14ac:dyDescent="0.25">
      <c r="A46" s="5">
        <v>285</v>
      </c>
      <c r="B46" s="6" t="s">
        <v>68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3120.2</v>
      </c>
      <c r="I46" s="10">
        <v>0</v>
      </c>
      <c r="J46" s="10">
        <v>0</v>
      </c>
      <c r="K46" s="21">
        <v>293.92</v>
      </c>
      <c r="L46" s="19"/>
      <c r="M46" s="13">
        <f>C46-H46-I46+L46-K46-J46</f>
        <v>585.88000000000011</v>
      </c>
      <c r="N46" s="14">
        <f t="shared" si="0"/>
        <v>3706.08</v>
      </c>
      <c r="O46" s="5" t="s">
        <v>48</v>
      </c>
      <c r="P46" s="33">
        <f t="shared" si="1"/>
        <v>58.588000000000015</v>
      </c>
      <c r="Q46" s="33">
        <f t="shared" si="2"/>
        <v>63.275040000000018</v>
      </c>
    </row>
    <row r="47" spans="1:17" s="55" customFormat="1" x14ac:dyDescent="0.25">
      <c r="A47" s="5">
        <v>286</v>
      </c>
      <c r="B47" s="6" t="s">
        <v>69</v>
      </c>
      <c r="C47" s="7">
        <v>4000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>
        <v>375</v>
      </c>
      <c r="J47" s="10">
        <v>0</v>
      </c>
      <c r="K47" s="11"/>
      <c r="L47" s="19"/>
      <c r="M47" s="13">
        <f t="shared" si="6"/>
        <v>270.59999999999991</v>
      </c>
      <c r="N47" s="14">
        <f t="shared" si="0"/>
        <v>3625</v>
      </c>
      <c r="O47" s="5" t="s">
        <v>118</v>
      </c>
      <c r="P47" s="33">
        <f t="shared" si="1"/>
        <v>27.059999999999992</v>
      </c>
      <c r="Q47" s="33">
        <f t="shared" si="2"/>
        <v>29.224799999999991</v>
      </c>
    </row>
    <row r="48" spans="1:17" x14ac:dyDescent="0.25">
      <c r="A48" s="5">
        <v>287</v>
      </c>
      <c r="B48" s="6" t="s">
        <v>72</v>
      </c>
      <c r="C48" s="7">
        <v>5000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3238.8</v>
      </c>
      <c r="I48" s="10">
        <v>150</v>
      </c>
      <c r="J48" s="10">
        <v>70</v>
      </c>
      <c r="K48" s="21">
        <v>314.27999999999997</v>
      </c>
      <c r="L48" s="19"/>
      <c r="M48" s="13">
        <f>C48-H48-I48+L48-K48-J48</f>
        <v>1226.9199999999998</v>
      </c>
      <c r="N48" s="14">
        <f t="shared" si="0"/>
        <v>4465.72</v>
      </c>
      <c r="O48" s="5" t="s">
        <v>118</v>
      </c>
      <c r="P48" s="33">
        <f t="shared" si="1"/>
        <v>122.69199999999999</v>
      </c>
      <c r="Q48" s="33">
        <f t="shared" si="2"/>
        <v>132.50736000000001</v>
      </c>
    </row>
    <row r="49" spans="1:18" x14ac:dyDescent="0.25">
      <c r="A49" s="5">
        <v>288</v>
      </c>
      <c r="B49" s="6" t="s">
        <v>73</v>
      </c>
      <c r="C49" s="7">
        <v>3500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>
        <v>0</v>
      </c>
      <c r="J49" s="10">
        <v>0</v>
      </c>
      <c r="K49" s="11"/>
      <c r="L49" s="19">
        <f>1500+1500</f>
        <v>3000</v>
      </c>
      <c r="M49" s="13">
        <f>C49-H49-I49+L49-K49-J49</f>
        <v>3145.8</v>
      </c>
      <c r="N49" s="14">
        <f t="shared" si="0"/>
        <v>6500</v>
      </c>
      <c r="O49" s="5">
        <v>0.03</v>
      </c>
      <c r="P49" s="33">
        <f t="shared" si="1"/>
        <v>314.58000000000004</v>
      </c>
      <c r="Q49" s="33">
        <f t="shared" si="2"/>
        <v>339.74640000000005</v>
      </c>
    </row>
    <row r="50" spans="1:18" x14ac:dyDescent="0.25">
      <c r="A50" s="5">
        <v>289</v>
      </c>
      <c r="B50" s="6" t="s">
        <v>74</v>
      </c>
      <c r="C50" s="7">
        <v>3500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3354.2</v>
      </c>
      <c r="I50" s="10">
        <v>0</v>
      </c>
      <c r="J50" s="10">
        <v>0</v>
      </c>
      <c r="K50" s="11"/>
      <c r="L50" s="19">
        <v>1500</v>
      </c>
      <c r="M50" s="13">
        <f t="shared" si="6"/>
        <v>1645.8000000000002</v>
      </c>
      <c r="N50" s="14">
        <f t="shared" si="0"/>
        <v>5000</v>
      </c>
      <c r="O50" s="5">
        <v>0.03</v>
      </c>
      <c r="P50" s="33">
        <f t="shared" si="1"/>
        <v>164.58000000000004</v>
      </c>
      <c r="Q50" s="33">
        <f t="shared" si="2"/>
        <v>177.74640000000005</v>
      </c>
    </row>
    <row r="51" spans="1:18" x14ac:dyDescent="0.25">
      <c r="A51" s="5">
        <v>291</v>
      </c>
      <c r="B51" s="6" t="s">
        <v>78</v>
      </c>
      <c r="C51" s="7">
        <v>4250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0</v>
      </c>
      <c r="J51" s="10">
        <v>70</v>
      </c>
      <c r="K51" s="11"/>
      <c r="L51" s="19"/>
      <c r="M51" s="13">
        <f t="shared" si="6"/>
        <v>825.59999999999991</v>
      </c>
      <c r="N51" s="14">
        <f t="shared" si="0"/>
        <v>4180</v>
      </c>
      <c r="O51" s="5">
        <v>0.03</v>
      </c>
      <c r="P51" s="33">
        <f t="shared" si="1"/>
        <v>82.56</v>
      </c>
      <c r="Q51" s="33">
        <f t="shared" si="2"/>
        <v>89.164800000000014</v>
      </c>
    </row>
    <row r="52" spans="1:18" x14ac:dyDescent="0.25">
      <c r="A52" s="5">
        <v>293</v>
      </c>
      <c r="B52" s="6" t="s">
        <v>89</v>
      </c>
      <c r="C52" s="7">
        <v>4000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3393.2</v>
      </c>
      <c r="I52" s="10">
        <v>225</v>
      </c>
      <c r="J52" s="10">
        <v>35</v>
      </c>
      <c r="K52" s="11"/>
      <c r="L52" s="12">
        <v>142.85</v>
      </c>
      <c r="M52" s="13">
        <f t="shared" si="6"/>
        <v>489.6500000000002</v>
      </c>
      <c r="N52" s="14">
        <f t="shared" si="0"/>
        <v>3882.85</v>
      </c>
      <c r="O52" s="5">
        <v>0.03</v>
      </c>
      <c r="P52" s="33">
        <f t="shared" si="1"/>
        <v>48.965000000000025</v>
      </c>
      <c r="Q52" s="33">
        <f t="shared" si="2"/>
        <v>52.882200000000033</v>
      </c>
    </row>
    <row r="53" spans="1:18" x14ac:dyDescent="0.25">
      <c r="A53" s="5">
        <v>294</v>
      </c>
      <c r="B53" s="6" t="s">
        <v>91</v>
      </c>
      <c r="C53" s="7">
        <v>4000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3354.2</v>
      </c>
      <c r="I53" s="10">
        <v>375</v>
      </c>
      <c r="J53" s="10">
        <v>140</v>
      </c>
      <c r="K53" s="11"/>
      <c r="L53" s="12"/>
      <c r="M53" s="22">
        <f t="shared" ref="M53:M62" si="7">C53-H53-I53+L53-K53-J53</f>
        <v>130.80000000000018</v>
      </c>
      <c r="N53" s="14">
        <f t="shared" si="0"/>
        <v>3485</v>
      </c>
      <c r="O53" s="5">
        <v>0.03</v>
      </c>
      <c r="P53" s="33">
        <f t="shared" si="1"/>
        <v>13.08000000000002</v>
      </c>
      <c r="Q53" s="33">
        <f t="shared" si="2"/>
        <v>14.126400000000022</v>
      </c>
    </row>
    <row r="54" spans="1:18" x14ac:dyDescent="0.25">
      <c r="A54" s="5">
        <v>295</v>
      </c>
      <c r="B54" s="6" t="s">
        <v>104</v>
      </c>
      <c r="C54" s="7">
        <v>5500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3354.4</v>
      </c>
      <c r="I54" s="10">
        <v>375</v>
      </c>
      <c r="J54" s="10">
        <v>0</v>
      </c>
      <c r="K54" s="11"/>
      <c r="L54" s="12"/>
      <c r="M54" s="22">
        <f t="shared" si="7"/>
        <v>1770.6</v>
      </c>
      <c r="N54" s="14">
        <f t="shared" si="0"/>
        <v>5125</v>
      </c>
      <c r="O54" s="5" t="s">
        <v>118</v>
      </c>
      <c r="P54" s="33">
        <f t="shared" si="1"/>
        <v>177.06</v>
      </c>
      <c r="Q54" s="33">
        <f t="shared" si="2"/>
        <v>191.22480000000002</v>
      </c>
    </row>
    <row r="55" spans="1:18" x14ac:dyDescent="0.25">
      <c r="A55" s="5">
        <v>297</v>
      </c>
      <c r="B55" s="6" t="s">
        <v>110</v>
      </c>
      <c r="C55" s="7">
        <v>4000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0</v>
      </c>
      <c r="J55" s="10">
        <v>0</v>
      </c>
      <c r="K55" s="11"/>
      <c r="L55" s="12"/>
      <c r="M55" s="22">
        <f t="shared" si="7"/>
        <v>645.59999999999991</v>
      </c>
      <c r="N55" s="14">
        <f t="shared" si="0"/>
        <v>4000</v>
      </c>
      <c r="O55" s="5" t="s">
        <v>50</v>
      </c>
      <c r="P55" s="33">
        <f t="shared" si="1"/>
        <v>64.559999999999988</v>
      </c>
      <c r="Q55" s="33">
        <f t="shared" si="2"/>
        <v>69.724799999999988</v>
      </c>
    </row>
    <row r="56" spans="1:18" x14ac:dyDescent="0.25">
      <c r="A56" s="5">
        <v>298</v>
      </c>
      <c r="B56" s="6" t="s">
        <v>115</v>
      </c>
      <c r="C56" s="7">
        <v>5000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1845.8</v>
      </c>
      <c r="I56" s="10">
        <v>300</v>
      </c>
      <c r="J56" s="10">
        <v>35</v>
      </c>
      <c r="K56" s="16">
        <v>1438.66</v>
      </c>
      <c r="L56" s="12">
        <v>5000</v>
      </c>
      <c r="M56" s="22">
        <f t="shared" si="7"/>
        <v>6380.54</v>
      </c>
      <c r="N56" s="14">
        <f t="shared" si="0"/>
        <v>8226.34</v>
      </c>
      <c r="O56" s="5">
        <v>0.03</v>
      </c>
      <c r="P56" s="33">
        <f t="shared" si="1"/>
        <v>638.05400000000009</v>
      </c>
      <c r="Q56" s="33">
        <f t="shared" si="2"/>
        <v>689.09832000000017</v>
      </c>
    </row>
    <row r="57" spans="1:18" x14ac:dyDescent="0.25">
      <c r="A57" s="5">
        <v>299</v>
      </c>
      <c r="B57" s="6" t="s">
        <v>116</v>
      </c>
      <c r="C57" s="7">
        <v>4000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3354.4</v>
      </c>
      <c r="I57" s="10">
        <v>375</v>
      </c>
      <c r="J57" s="10">
        <v>140</v>
      </c>
      <c r="K57" s="11"/>
      <c r="L57" s="12"/>
      <c r="M57" s="22">
        <f t="shared" si="7"/>
        <v>130.59999999999991</v>
      </c>
      <c r="N57" s="14">
        <f t="shared" si="0"/>
        <v>3485</v>
      </c>
      <c r="O57" s="5">
        <v>0.03</v>
      </c>
      <c r="P57" s="33">
        <f t="shared" si="1"/>
        <v>13.059999999999992</v>
      </c>
      <c r="Q57" s="33">
        <f t="shared" si="2"/>
        <v>14.104799999999992</v>
      </c>
    </row>
    <row r="58" spans="1:18" x14ac:dyDescent="0.25">
      <c r="A58" s="5">
        <v>300</v>
      </c>
      <c r="B58" s="6" t="s">
        <v>121</v>
      </c>
      <c r="C58" s="7">
        <v>6250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3354.4</v>
      </c>
      <c r="I58" s="10">
        <v>0</v>
      </c>
      <c r="J58" s="10">
        <v>0</v>
      </c>
      <c r="K58" s="11"/>
      <c r="L58" s="12"/>
      <c r="M58" s="22">
        <f t="shared" si="7"/>
        <v>2895.6</v>
      </c>
      <c r="N58" s="14">
        <f t="shared" si="0"/>
        <v>6250</v>
      </c>
      <c r="O58" s="5">
        <v>0.03</v>
      </c>
      <c r="P58" s="33">
        <f t="shared" si="1"/>
        <v>289.56</v>
      </c>
      <c r="Q58" s="33">
        <f t="shared" si="2"/>
        <v>312.72480000000002</v>
      </c>
    </row>
    <row r="59" spans="1:18" x14ac:dyDescent="0.25">
      <c r="A59" s="5">
        <v>301</v>
      </c>
      <c r="B59" s="6" t="s">
        <v>124</v>
      </c>
      <c r="C59" s="7">
        <v>5000</v>
      </c>
      <c r="D59" s="7">
        <v>419.88</v>
      </c>
      <c r="E59" s="8">
        <f t="shared" si="3"/>
        <v>2519.2799999999997</v>
      </c>
      <c r="F59" s="8">
        <f t="shared" si="4"/>
        <v>419.88</v>
      </c>
      <c r="G59" s="9">
        <f t="shared" si="5"/>
        <v>2939.16</v>
      </c>
      <c r="H59" s="37">
        <v>3354.2</v>
      </c>
      <c r="I59" s="10">
        <v>0</v>
      </c>
      <c r="J59" s="10">
        <v>0</v>
      </c>
      <c r="K59" s="11"/>
      <c r="L59" s="12"/>
      <c r="M59" s="22">
        <f t="shared" si="7"/>
        <v>1645.8000000000002</v>
      </c>
      <c r="N59" s="14">
        <f t="shared" si="0"/>
        <v>5000</v>
      </c>
      <c r="O59" s="5">
        <v>0.03</v>
      </c>
      <c r="P59" s="33">
        <f t="shared" si="1"/>
        <v>164.58000000000004</v>
      </c>
      <c r="Q59" s="33">
        <f t="shared" si="2"/>
        <v>177.74640000000005</v>
      </c>
    </row>
    <row r="60" spans="1:18" x14ac:dyDescent="0.25">
      <c r="A60" s="5">
        <v>302</v>
      </c>
      <c r="B60" s="6" t="s">
        <v>128</v>
      </c>
      <c r="C60" s="7">
        <v>5000</v>
      </c>
      <c r="D60" s="7">
        <v>419.88</v>
      </c>
      <c r="E60" s="8">
        <f t="shared" si="3"/>
        <v>2519.2799999999997</v>
      </c>
      <c r="F60" s="8">
        <f t="shared" si="4"/>
        <v>419.88</v>
      </c>
      <c r="G60" s="9">
        <f t="shared" si="5"/>
        <v>2939.16</v>
      </c>
      <c r="H60" s="37">
        <v>3354.2</v>
      </c>
      <c r="I60" s="10">
        <v>300</v>
      </c>
      <c r="J60" s="10">
        <v>0</v>
      </c>
      <c r="K60" s="11"/>
      <c r="L60" s="12"/>
      <c r="M60" s="22">
        <f t="shared" si="7"/>
        <v>1345.8000000000002</v>
      </c>
      <c r="N60" s="14">
        <f t="shared" si="0"/>
        <v>4700</v>
      </c>
      <c r="O60" s="5">
        <v>0.03</v>
      </c>
      <c r="P60" s="33">
        <f t="shared" si="1"/>
        <v>134.58000000000001</v>
      </c>
      <c r="Q60" s="33">
        <f t="shared" si="2"/>
        <v>145.34640000000002</v>
      </c>
    </row>
    <row r="61" spans="1:18" x14ac:dyDescent="0.25">
      <c r="A61" s="5">
        <v>303</v>
      </c>
      <c r="B61" s="6" t="s">
        <v>129</v>
      </c>
      <c r="C61" s="7">
        <v>3500</v>
      </c>
      <c r="D61" s="7">
        <v>419.88</v>
      </c>
      <c r="E61" s="8">
        <f>D61*6</f>
        <v>2519.2799999999997</v>
      </c>
      <c r="F61" s="8">
        <f t="shared" si="4"/>
        <v>419.88</v>
      </c>
      <c r="G61" s="9">
        <f>E61+F61</f>
        <v>2939.16</v>
      </c>
      <c r="H61" s="37">
        <v>3354.2</v>
      </c>
      <c r="I61" s="10">
        <v>0</v>
      </c>
      <c r="J61" s="10">
        <v>0</v>
      </c>
      <c r="K61" s="11"/>
      <c r="L61" s="12"/>
      <c r="M61" s="22">
        <f t="shared" si="7"/>
        <v>145.80000000000018</v>
      </c>
      <c r="N61" s="14">
        <f>H61+M61</f>
        <v>3500</v>
      </c>
      <c r="O61" s="5">
        <v>0.03</v>
      </c>
      <c r="P61" s="33">
        <f>+M61*0.1</f>
        <v>14.58000000000002</v>
      </c>
      <c r="Q61" s="33">
        <f>+P61*1.08</f>
        <v>15.746400000000023</v>
      </c>
    </row>
    <row r="62" spans="1:18" x14ac:dyDescent="0.25">
      <c r="A62" s="5">
        <v>304</v>
      </c>
      <c r="B62" s="6" t="s">
        <v>131</v>
      </c>
      <c r="C62" s="7">
        <v>4500</v>
      </c>
      <c r="D62" s="7">
        <v>419.88</v>
      </c>
      <c r="E62" s="8">
        <f t="shared" si="3"/>
        <v>2519.2799999999997</v>
      </c>
      <c r="F62" s="8">
        <f t="shared" si="4"/>
        <v>419.88</v>
      </c>
      <c r="G62" s="9">
        <f t="shared" si="5"/>
        <v>2939.16</v>
      </c>
      <c r="H62" s="37">
        <v>2879</v>
      </c>
      <c r="I62" s="10">
        <v>300</v>
      </c>
      <c r="J62" s="10">
        <v>0</v>
      </c>
      <c r="K62" s="11">
        <v>752.14</v>
      </c>
      <c r="L62" s="12"/>
      <c r="M62" s="22">
        <f t="shared" si="7"/>
        <v>568.86</v>
      </c>
      <c r="N62" s="14">
        <f t="shared" si="0"/>
        <v>3447.86</v>
      </c>
      <c r="O62" s="5">
        <v>0.03</v>
      </c>
      <c r="P62" s="33">
        <f t="shared" si="1"/>
        <v>56.886000000000003</v>
      </c>
      <c r="Q62" s="33">
        <f t="shared" si="2"/>
        <v>61.436880000000009</v>
      </c>
    </row>
    <row r="63" spans="1:18" ht="16.149999999999999" customHeight="1" thickBot="1" x14ac:dyDescent="0.3"/>
    <row r="64" spans="1:18" ht="18" thickBot="1" x14ac:dyDescent="0.35">
      <c r="A64" s="23"/>
      <c r="B64" s="24"/>
      <c r="C64" s="25">
        <f>SUM(C4:C63)</f>
        <v>293875</v>
      </c>
      <c r="D64" s="25">
        <f t="shared" ref="D64:N64" si="8">SUM(D4:D63)</f>
        <v>24772.920000000006</v>
      </c>
      <c r="E64" s="25">
        <f t="shared" si="8"/>
        <v>146118.23999999996</v>
      </c>
      <c r="F64" s="25">
        <f t="shared" si="8"/>
        <v>24353.040000000005</v>
      </c>
      <c r="G64" s="25">
        <f t="shared" si="8"/>
        <v>170471.28000000014</v>
      </c>
      <c r="H64" s="25">
        <f>SUM(H4:H63)</f>
        <v>190357.8</v>
      </c>
      <c r="I64" s="26">
        <f t="shared" si="8"/>
        <v>9825</v>
      </c>
      <c r="J64" s="26">
        <f t="shared" si="8"/>
        <v>2800</v>
      </c>
      <c r="K64" s="26">
        <f t="shared" si="8"/>
        <v>13655.650000000001</v>
      </c>
      <c r="L64" s="27">
        <f>SUM(L4:L63)</f>
        <v>15683.61</v>
      </c>
      <c r="M64" s="25">
        <f>SUM(M4:M63)</f>
        <v>95374.000000000044</v>
      </c>
      <c r="N64" s="25">
        <f t="shared" si="8"/>
        <v>285731.8</v>
      </c>
      <c r="P64" s="25">
        <f>SUM(P4:P63)</f>
        <v>9537.4000000000033</v>
      </c>
      <c r="Q64" s="25">
        <f>SUM(Q4:Q63)</f>
        <v>10300.392</v>
      </c>
      <c r="R64" s="55">
        <f>+N64+Q64</f>
        <v>296032.19199999998</v>
      </c>
    </row>
    <row r="65" spans="9:10" x14ac:dyDescent="0.25">
      <c r="I65" s="15">
        <f>I64/75</f>
        <v>131</v>
      </c>
      <c r="J65" s="15">
        <f>J64/35</f>
        <v>80</v>
      </c>
    </row>
  </sheetData>
  <autoFilter ref="A3:Q62" xr:uid="{00000000-0009-0000-0000-000019000000}"/>
  <mergeCells count="2">
    <mergeCell ref="A1:N1"/>
    <mergeCell ref="A2:N2"/>
  </mergeCells>
  <pageMargins left="0.25" right="0.25" top="0.75" bottom="0.75" header="0.3" footer="0.3"/>
  <pageSetup scale="59" fitToHeight="0" orientation="landscape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1EFA7-2117-4104-878C-E0989EED1E72}">
  <sheetPr codeName="Hoja34">
    <pageSetUpPr fitToPage="1"/>
  </sheetPr>
  <dimension ref="A1:R65"/>
  <sheetViews>
    <sheetView showGridLines="0" topLeftCell="A3" zoomScaleNormal="100" workbookViewId="0">
      <selection activeCell="A10" sqref="A10:XFD10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133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62" si="0">H4+M4</f>
        <v>0</v>
      </c>
      <c r="O4" s="81" t="s">
        <v>48</v>
      </c>
      <c r="P4" s="82">
        <f t="shared" ref="P4:P62" si="1">+M4*0.1</f>
        <v>0</v>
      </c>
      <c r="Q4" s="82">
        <f t="shared" ref="Q4:Q62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2" si="3">D5*6</f>
        <v>2519.2799999999997</v>
      </c>
      <c r="F5" s="8">
        <f t="shared" ref="F5:F62" si="4">$D$4</f>
        <v>419.88</v>
      </c>
      <c r="G5" s="9">
        <f t="shared" ref="G5:G62" si="5">E5+F5</f>
        <v>2939.16</v>
      </c>
      <c r="H5" s="37">
        <v>3354.2</v>
      </c>
      <c r="I5" s="10">
        <v>300</v>
      </c>
      <c r="J5" s="10"/>
      <c r="K5" s="11"/>
      <c r="L5" s="19"/>
      <c r="M5" s="13">
        <f>C5-H5-I5+L5-K5-J5</f>
        <v>345.80000000000018</v>
      </c>
      <c r="N5" s="14">
        <f t="shared" si="0"/>
        <v>3700</v>
      </c>
      <c r="O5" s="29" t="s">
        <v>47</v>
      </c>
      <c r="P5" s="33">
        <f t="shared" si="1"/>
        <v>34.58000000000002</v>
      </c>
      <c r="Q5" s="33">
        <f t="shared" si="2"/>
        <v>37.346400000000024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3354.4</v>
      </c>
      <c r="I6" s="18">
        <v>150</v>
      </c>
      <c r="J6" s="18">
        <v>105</v>
      </c>
      <c r="K6" s="21"/>
      <c r="L6" s="19"/>
      <c r="M6" s="13">
        <f t="shared" ref="M6:M60" si="6">C6-H6-I6+L6-K6-J6</f>
        <v>11390.6</v>
      </c>
      <c r="N6" s="14">
        <f>H6+M6</f>
        <v>14745</v>
      </c>
      <c r="O6" s="30" t="s">
        <v>118</v>
      </c>
      <c r="P6" s="33">
        <f t="shared" si="1"/>
        <v>1139.0600000000002</v>
      </c>
      <c r="Q6" s="33">
        <f t="shared" si="2"/>
        <v>1230.1848000000002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3354.4</v>
      </c>
      <c r="I7" s="10">
        <v>225</v>
      </c>
      <c r="J7" s="10">
        <v>105</v>
      </c>
      <c r="K7" s="21"/>
      <c r="L7" s="19"/>
      <c r="M7" s="13">
        <f t="shared" si="6"/>
        <v>1315.6</v>
      </c>
      <c r="N7" s="14">
        <f t="shared" si="0"/>
        <v>4670</v>
      </c>
      <c r="O7" s="36" t="s">
        <v>118</v>
      </c>
      <c r="P7" s="33">
        <f t="shared" si="1"/>
        <v>131.56</v>
      </c>
      <c r="Q7" s="33">
        <f t="shared" si="2"/>
        <v>142.0848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225</v>
      </c>
      <c r="J8" s="10">
        <v>70</v>
      </c>
      <c r="K8" s="11"/>
      <c r="L8" s="12"/>
      <c r="M8" s="13">
        <f t="shared" si="6"/>
        <v>850.59999999999991</v>
      </c>
      <c r="N8" s="14">
        <f t="shared" si="0"/>
        <v>4205</v>
      </c>
      <c r="O8" s="30" t="s">
        <v>118</v>
      </c>
      <c r="P8" s="33">
        <f t="shared" si="1"/>
        <v>85.06</v>
      </c>
      <c r="Q8" s="33">
        <f t="shared" si="2"/>
        <v>91.864800000000002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3354.4</v>
      </c>
      <c r="I9" s="10">
        <v>225</v>
      </c>
      <c r="J9" s="10"/>
      <c r="K9" s="21"/>
      <c r="L9" s="12"/>
      <c r="M9" s="22">
        <f t="shared" si="6"/>
        <v>420.59999999999991</v>
      </c>
      <c r="N9" s="14">
        <f t="shared" si="0"/>
        <v>3775</v>
      </c>
      <c r="O9" s="30" t="s">
        <v>47</v>
      </c>
      <c r="P9" s="33">
        <f t="shared" si="1"/>
        <v>42.059999999999995</v>
      </c>
      <c r="Q9" s="33">
        <f t="shared" si="2"/>
        <v>45.424799999999998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2879</v>
      </c>
      <c r="I10" s="10"/>
      <c r="J10" s="10"/>
      <c r="K10" s="100"/>
      <c r="L10" s="19"/>
      <c r="M10" s="22">
        <f t="shared" si="6"/>
        <v>1121</v>
      </c>
      <c r="N10" s="14">
        <f t="shared" si="0"/>
        <v>4000</v>
      </c>
      <c r="O10" s="30" t="s">
        <v>49</v>
      </c>
      <c r="P10" s="33">
        <f t="shared" si="1"/>
        <v>112.10000000000001</v>
      </c>
      <c r="Q10" s="33">
        <f t="shared" si="2"/>
        <v>121.06800000000001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150</v>
      </c>
      <c r="J11" s="10">
        <v>35</v>
      </c>
      <c r="K11" s="11"/>
      <c r="L11" s="12"/>
      <c r="M11" s="13">
        <f t="shared" si="6"/>
        <v>3460.6</v>
      </c>
      <c r="N11" s="14">
        <f t="shared" si="0"/>
        <v>6815</v>
      </c>
      <c r="O11" s="30" t="s">
        <v>118</v>
      </c>
      <c r="P11" s="33">
        <f t="shared" si="1"/>
        <v>346.06</v>
      </c>
      <c r="Q11" s="33">
        <f t="shared" si="2"/>
        <v>373.74480000000005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3354.2</v>
      </c>
      <c r="I12" s="10">
        <v>150</v>
      </c>
      <c r="J12" s="10">
        <v>35</v>
      </c>
      <c r="K12" s="11"/>
      <c r="L12" s="12"/>
      <c r="M12" s="13">
        <f t="shared" si="6"/>
        <v>1460.8000000000002</v>
      </c>
      <c r="N12" s="14">
        <f t="shared" si="0"/>
        <v>4815</v>
      </c>
      <c r="O12" s="30">
        <v>0.03</v>
      </c>
      <c r="P12" s="33">
        <f t="shared" si="1"/>
        <v>146.08000000000001</v>
      </c>
      <c r="Q12" s="33">
        <f t="shared" si="2"/>
        <v>157.76640000000003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3285</v>
      </c>
      <c r="I13" s="10">
        <v>75</v>
      </c>
      <c r="J13" s="10">
        <v>140</v>
      </c>
      <c r="K13" s="21"/>
      <c r="L13" s="19"/>
      <c r="M13" s="13">
        <f t="shared" si="6"/>
        <v>0</v>
      </c>
      <c r="N13" s="14">
        <f t="shared" si="0"/>
        <v>3285</v>
      </c>
      <c r="O13" s="30">
        <v>0.03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2879</v>
      </c>
      <c r="I14" s="10">
        <v>150</v>
      </c>
      <c r="J14" s="10">
        <v>140</v>
      </c>
      <c r="K14" s="21">
        <v>587.84</v>
      </c>
      <c r="L14" s="19"/>
      <c r="M14" s="22">
        <f t="shared" si="6"/>
        <v>243.15999999999997</v>
      </c>
      <c r="N14" s="14">
        <f t="shared" si="0"/>
        <v>3122.16</v>
      </c>
      <c r="O14" s="36" t="s">
        <v>50</v>
      </c>
      <c r="P14" s="33">
        <f t="shared" si="1"/>
        <v>24.315999999999999</v>
      </c>
      <c r="Q14" s="33">
        <f t="shared" si="2"/>
        <v>26.261279999999999</v>
      </c>
    </row>
    <row r="15" spans="1:17" x14ac:dyDescent="0.25">
      <c r="A15" s="5">
        <v>150</v>
      </c>
      <c r="B15" s="6" t="s">
        <v>24</v>
      </c>
      <c r="C15" s="7">
        <v>5000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3354.2</v>
      </c>
      <c r="I15" s="10"/>
      <c r="J15" s="10"/>
      <c r="K15" s="21"/>
      <c r="L15" s="19"/>
      <c r="M15" s="13">
        <f t="shared" si="6"/>
        <v>1645.8000000000002</v>
      </c>
      <c r="N15" s="14">
        <f t="shared" si="0"/>
        <v>5000</v>
      </c>
      <c r="O15" s="30" t="s">
        <v>47</v>
      </c>
      <c r="P15" s="33">
        <f t="shared" si="1"/>
        <v>164.58000000000004</v>
      </c>
      <c r="Q15" s="33">
        <f t="shared" si="2"/>
        <v>177.74640000000005</v>
      </c>
    </row>
    <row r="16" spans="1:17" x14ac:dyDescent="0.25">
      <c r="A16" s="5">
        <v>151</v>
      </c>
      <c r="B16" s="6" t="s">
        <v>25</v>
      </c>
      <c r="C16" s="7">
        <v>4500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3354.4</v>
      </c>
      <c r="I16" s="10">
        <v>375</v>
      </c>
      <c r="J16" s="10">
        <v>35</v>
      </c>
      <c r="K16" s="21"/>
      <c r="L16" s="12"/>
      <c r="M16" s="13">
        <f>C16-H16-I16+L16-K16-J16</f>
        <v>735.59999999999991</v>
      </c>
      <c r="N16" s="14">
        <f t="shared" si="0"/>
        <v>4090</v>
      </c>
      <c r="O16" s="29">
        <v>0.03</v>
      </c>
      <c r="P16" s="33">
        <f t="shared" si="1"/>
        <v>73.559999999999988</v>
      </c>
      <c r="Q16" s="33">
        <f t="shared" si="2"/>
        <v>79.444799999999987</v>
      </c>
    </row>
    <row r="17" spans="1:17" x14ac:dyDescent="0.25">
      <c r="A17" s="42">
        <v>156</v>
      </c>
      <c r="B17" s="43" t="s">
        <v>26</v>
      </c>
      <c r="C17" s="44">
        <v>4000</v>
      </c>
      <c r="D17" s="44">
        <v>419.88</v>
      </c>
      <c r="E17" s="45">
        <f t="shared" si="3"/>
        <v>2519.2799999999997</v>
      </c>
      <c r="F17" s="45">
        <f t="shared" si="4"/>
        <v>419.88</v>
      </c>
      <c r="G17" s="46">
        <f t="shared" si="5"/>
        <v>2939.16</v>
      </c>
      <c r="H17" s="47">
        <v>13797.4</v>
      </c>
      <c r="I17" s="48"/>
      <c r="J17" s="48">
        <v>140</v>
      </c>
      <c r="K17" s="49">
        <v>587.84</v>
      </c>
      <c r="L17" s="50"/>
      <c r="M17" s="51"/>
      <c r="N17" s="52">
        <f>H17+M17</f>
        <v>13797.4</v>
      </c>
      <c r="O17" s="53" t="s">
        <v>48</v>
      </c>
      <c r="P17" s="54">
        <f>+M17*0.1</f>
        <v>0</v>
      </c>
      <c r="Q17" s="54">
        <f>+P17*1.08</f>
        <v>0</v>
      </c>
    </row>
    <row r="18" spans="1:17" x14ac:dyDescent="0.25">
      <c r="A18" s="5">
        <v>162</v>
      </c>
      <c r="B18" s="6" t="s">
        <v>27</v>
      </c>
      <c r="C18" s="7">
        <v>4500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3120.2</v>
      </c>
      <c r="I18" s="10">
        <v>375</v>
      </c>
      <c r="J18" s="10">
        <v>105</v>
      </c>
      <c r="K18" s="21">
        <v>293.92</v>
      </c>
      <c r="L18" s="19"/>
      <c r="M18" s="13">
        <f t="shared" si="6"/>
        <v>605.88000000000011</v>
      </c>
      <c r="N18" s="14">
        <f t="shared" si="0"/>
        <v>3726.08</v>
      </c>
      <c r="O18" s="29">
        <v>0.03</v>
      </c>
      <c r="P18" s="33">
        <f t="shared" si="1"/>
        <v>60.588000000000015</v>
      </c>
      <c r="Q18" s="33">
        <f t="shared" si="2"/>
        <v>65.435040000000015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2390.6</v>
      </c>
      <c r="I19" s="10"/>
      <c r="J19" s="10"/>
      <c r="K19" s="16">
        <f>2010.92+580</f>
        <v>2590.92</v>
      </c>
      <c r="L19" s="12"/>
      <c r="M19" s="13">
        <f t="shared" si="6"/>
        <v>5018.4799999999996</v>
      </c>
      <c r="N19" s="14">
        <f t="shared" si="0"/>
        <v>7409.08</v>
      </c>
      <c r="O19" s="29" t="s">
        <v>50</v>
      </c>
      <c r="P19" s="33">
        <f t="shared" si="1"/>
        <v>501.84799999999996</v>
      </c>
      <c r="Q19" s="33">
        <f t="shared" si="2"/>
        <v>541.99584000000004</v>
      </c>
    </row>
    <row r="20" spans="1:17" x14ac:dyDescent="0.25">
      <c r="A20" s="5">
        <v>184</v>
      </c>
      <c r="B20" s="6" t="s">
        <v>29</v>
      </c>
      <c r="C20" s="7">
        <v>8000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3354.4</v>
      </c>
      <c r="I20" s="10">
        <v>375</v>
      </c>
      <c r="J20" s="10">
        <v>140</v>
      </c>
      <c r="K20" s="21"/>
      <c r="L20" s="19"/>
      <c r="M20" s="13">
        <f t="shared" si="6"/>
        <v>4130.6000000000004</v>
      </c>
      <c r="N20" s="14">
        <f t="shared" si="0"/>
        <v>7485</v>
      </c>
      <c r="O20" s="29">
        <v>0.03</v>
      </c>
      <c r="P20" s="33">
        <f t="shared" si="1"/>
        <v>413.06000000000006</v>
      </c>
      <c r="Q20" s="33">
        <f t="shared" si="2"/>
        <v>446.10480000000007</v>
      </c>
    </row>
    <row r="21" spans="1:17" s="55" customFormat="1" ht="13.5" customHeight="1" x14ac:dyDescent="0.25">
      <c r="A21" s="5">
        <v>204</v>
      </c>
      <c r="B21" s="6" t="s">
        <v>33</v>
      </c>
      <c r="C21" s="7">
        <v>5000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3354.2</v>
      </c>
      <c r="I21" s="10">
        <v>150</v>
      </c>
      <c r="J21" s="10">
        <v>70</v>
      </c>
      <c r="K21" s="11"/>
      <c r="L21" s="19"/>
      <c r="M21" s="13">
        <f t="shared" si="6"/>
        <v>1425.8000000000002</v>
      </c>
      <c r="N21" s="14">
        <f t="shared" si="0"/>
        <v>4780</v>
      </c>
      <c r="O21" s="29" t="s">
        <v>118</v>
      </c>
      <c r="P21" s="33">
        <f t="shared" si="1"/>
        <v>142.58000000000001</v>
      </c>
      <c r="Q21" s="33">
        <f t="shared" si="2"/>
        <v>153.98640000000003</v>
      </c>
    </row>
    <row r="22" spans="1:17" s="55" customFormat="1" x14ac:dyDescent="0.25">
      <c r="A22" s="5">
        <v>213</v>
      </c>
      <c r="B22" s="6" t="s">
        <v>34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3354.2</v>
      </c>
      <c r="I22" s="10"/>
      <c r="J22" s="10"/>
      <c r="K22" s="11"/>
      <c r="L22" s="12"/>
      <c r="M22" s="13">
        <f t="shared" si="6"/>
        <v>645.80000000000018</v>
      </c>
      <c r="N22" s="14">
        <f t="shared" si="0"/>
        <v>4000</v>
      </c>
      <c r="O22" s="29" t="s">
        <v>50</v>
      </c>
      <c r="P22" s="33">
        <f t="shared" si="1"/>
        <v>64.580000000000027</v>
      </c>
      <c r="Q22" s="33">
        <f t="shared" si="2"/>
        <v>69.746400000000037</v>
      </c>
    </row>
    <row r="23" spans="1:17" s="55" customFormat="1" x14ac:dyDescent="0.25">
      <c r="A23" s="5">
        <v>215</v>
      </c>
      <c r="B23" s="6" t="s">
        <v>35</v>
      </c>
      <c r="C23" s="7">
        <v>5000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3120.4</v>
      </c>
      <c r="I23" s="10">
        <v>225</v>
      </c>
      <c r="J23" s="10">
        <v>35</v>
      </c>
      <c r="K23" s="21">
        <v>293.92</v>
      </c>
      <c r="L23" s="19"/>
      <c r="M23" s="13">
        <f t="shared" si="6"/>
        <v>1325.6799999999998</v>
      </c>
      <c r="N23" s="14">
        <f t="shared" si="0"/>
        <v>4446.08</v>
      </c>
      <c r="O23" s="29" t="s">
        <v>118</v>
      </c>
      <c r="P23" s="33">
        <f t="shared" si="1"/>
        <v>132.56799999999998</v>
      </c>
      <c r="Q23" s="33">
        <f t="shared" si="2"/>
        <v>143.17344</v>
      </c>
    </row>
    <row r="24" spans="1:17" s="55" customFormat="1" x14ac:dyDescent="0.25">
      <c r="A24" s="5">
        <v>218</v>
      </c>
      <c r="B24" s="6" t="s">
        <v>36</v>
      </c>
      <c r="C24" s="7">
        <v>3500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3354.4</v>
      </c>
      <c r="I24" s="10"/>
      <c r="J24" s="10"/>
      <c r="K24" s="12"/>
      <c r="L24" s="12"/>
      <c r="M24" s="13">
        <f t="shared" si="6"/>
        <v>145.59999999999991</v>
      </c>
      <c r="N24" s="14">
        <f t="shared" si="0"/>
        <v>3500</v>
      </c>
      <c r="O24" s="29" t="s">
        <v>49</v>
      </c>
      <c r="P24" s="33">
        <f t="shared" si="1"/>
        <v>14.559999999999992</v>
      </c>
      <c r="Q24" s="33">
        <f t="shared" si="2"/>
        <v>15.724799999999991</v>
      </c>
    </row>
    <row r="25" spans="1:17" s="55" customFormat="1" x14ac:dyDescent="0.25">
      <c r="A25" s="36">
        <v>220</v>
      </c>
      <c r="B25" s="6" t="s">
        <v>37</v>
      </c>
      <c r="C25" s="7">
        <v>4000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8">
        <v>2744</v>
      </c>
      <c r="I25" s="10">
        <v>150</v>
      </c>
      <c r="J25" s="10">
        <v>105</v>
      </c>
      <c r="K25" s="16">
        <v>610.33000000000004</v>
      </c>
      <c r="L25" s="12"/>
      <c r="M25" s="22">
        <f>C25-H25-I25+L25-K25-J25</f>
        <v>390.66999999999996</v>
      </c>
      <c r="N25" s="14">
        <f t="shared" si="0"/>
        <v>3134.67</v>
      </c>
      <c r="O25" s="36">
        <v>0.03</v>
      </c>
      <c r="P25" s="33">
        <f t="shared" si="1"/>
        <v>39.067</v>
      </c>
      <c r="Q25" s="33">
        <f t="shared" si="2"/>
        <v>42.192360000000001</v>
      </c>
    </row>
    <row r="26" spans="1:17" s="55" customFormat="1" x14ac:dyDescent="0.25">
      <c r="A26" s="5">
        <v>221</v>
      </c>
      <c r="B26" s="6" t="s">
        <v>38</v>
      </c>
      <c r="C26" s="7">
        <v>5000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3120.2</v>
      </c>
      <c r="I26" s="10">
        <v>375</v>
      </c>
      <c r="J26" s="10"/>
      <c r="K26" s="21">
        <v>293.92</v>
      </c>
      <c r="L26" s="12"/>
      <c r="M26" s="13">
        <f t="shared" si="6"/>
        <v>1210.8800000000001</v>
      </c>
      <c r="N26" s="14">
        <f t="shared" si="0"/>
        <v>4331.08</v>
      </c>
      <c r="O26" s="29">
        <v>0.03</v>
      </c>
      <c r="P26" s="33">
        <f t="shared" si="1"/>
        <v>121.08800000000002</v>
      </c>
      <c r="Q26" s="33">
        <f t="shared" si="2"/>
        <v>130.77504000000005</v>
      </c>
    </row>
    <row r="27" spans="1:17" s="55" customFormat="1" x14ac:dyDescent="0.25">
      <c r="A27" s="5">
        <v>222</v>
      </c>
      <c r="B27" s="6" t="s">
        <v>39</v>
      </c>
      <c r="C27" s="7">
        <v>8000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2681.4</v>
      </c>
      <c r="I27" s="10">
        <v>375</v>
      </c>
      <c r="J27" s="10">
        <v>105</v>
      </c>
      <c r="K27" s="16">
        <v>1538.46</v>
      </c>
      <c r="L27" s="19"/>
      <c r="M27" s="13">
        <f t="shared" si="6"/>
        <v>3300.1400000000003</v>
      </c>
      <c r="N27" s="14">
        <f t="shared" si="0"/>
        <v>5981.5400000000009</v>
      </c>
      <c r="O27" s="29" t="s">
        <v>118</v>
      </c>
      <c r="P27" s="33">
        <f t="shared" si="1"/>
        <v>330.01400000000007</v>
      </c>
      <c r="Q27" s="33">
        <f t="shared" si="2"/>
        <v>356.41512000000012</v>
      </c>
    </row>
    <row r="28" spans="1:17" s="55" customFormat="1" x14ac:dyDescent="0.25">
      <c r="A28" s="5">
        <v>227</v>
      </c>
      <c r="B28" s="6" t="s">
        <v>41</v>
      </c>
      <c r="C28" s="7">
        <v>6000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3354.2</v>
      </c>
      <c r="I28" s="10"/>
      <c r="J28" s="10">
        <v>140</v>
      </c>
      <c r="K28" s="21"/>
      <c r="L28" s="12"/>
      <c r="M28" s="13">
        <f t="shared" si="6"/>
        <v>2505.8000000000002</v>
      </c>
      <c r="N28" s="14">
        <f t="shared" si="0"/>
        <v>5860</v>
      </c>
      <c r="O28" s="29" t="s">
        <v>118</v>
      </c>
      <c r="P28" s="33">
        <f t="shared" si="1"/>
        <v>250.58000000000004</v>
      </c>
      <c r="Q28" s="33">
        <f t="shared" si="2"/>
        <v>270.62640000000005</v>
      </c>
    </row>
    <row r="29" spans="1:17" s="55" customFormat="1" x14ac:dyDescent="0.25">
      <c r="A29" s="5">
        <v>233</v>
      </c>
      <c r="B29" s="6" t="s">
        <v>42</v>
      </c>
      <c r="C29" s="7">
        <v>6250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375</v>
      </c>
      <c r="J29" s="10">
        <v>70</v>
      </c>
      <c r="K29" s="21"/>
      <c r="L29" s="19"/>
      <c r="M29" s="13">
        <f t="shared" si="6"/>
        <v>2450.6</v>
      </c>
      <c r="N29" s="14">
        <f t="shared" si="0"/>
        <v>5805</v>
      </c>
      <c r="O29" s="31" t="s">
        <v>118</v>
      </c>
      <c r="P29" s="33">
        <f t="shared" si="1"/>
        <v>245.06</v>
      </c>
      <c r="Q29" s="33">
        <f t="shared" si="2"/>
        <v>264.66480000000001</v>
      </c>
    </row>
    <row r="30" spans="1:17" s="55" customFormat="1" x14ac:dyDescent="0.25">
      <c r="A30" s="5">
        <v>244</v>
      </c>
      <c r="B30" s="6" t="s">
        <v>44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3354.4</v>
      </c>
      <c r="I30" s="10">
        <v>375</v>
      </c>
      <c r="J30" s="10">
        <v>140</v>
      </c>
      <c r="K30" s="21"/>
      <c r="L30" s="12"/>
      <c r="M30" s="13">
        <f>C30-H30-I30+L30-K30-J30</f>
        <v>1130.5999999999999</v>
      </c>
      <c r="N30" s="14">
        <f t="shared" si="0"/>
        <v>4485</v>
      </c>
      <c r="O30" s="29">
        <v>0.03</v>
      </c>
      <c r="P30" s="33">
        <f t="shared" si="1"/>
        <v>113.06</v>
      </c>
      <c r="Q30" s="33">
        <f t="shared" si="2"/>
        <v>122.10480000000001</v>
      </c>
    </row>
    <row r="31" spans="1:17" s="55" customFormat="1" x14ac:dyDescent="0.25">
      <c r="A31" s="5">
        <v>245</v>
      </c>
      <c r="B31" s="6" t="s">
        <v>45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3354.4</v>
      </c>
      <c r="I31" s="10">
        <v>75</v>
      </c>
      <c r="J31" s="10"/>
      <c r="K31" s="11"/>
      <c r="L31" s="19"/>
      <c r="M31" s="13">
        <f t="shared" si="6"/>
        <v>1570.6</v>
      </c>
      <c r="N31" s="14">
        <f>H31+M31</f>
        <v>4925</v>
      </c>
      <c r="O31" s="34" t="s">
        <v>47</v>
      </c>
      <c r="P31" s="33">
        <f t="shared" si="1"/>
        <v>157.06</v>
      </c>
      <c r="Q31" s="33">
        <f t="shared" si="2"/>
        <v>169.62480000000002</v>
      </c>
    </row>
    <row r="32" spans="1:17" s="55" customFormat="1" x14ac:dyDescent="0.25">
      <c r="A32" s="5">
        <v>252</v>
      </c>
      <c r="B32" s="6" t="s">
        <v>53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225</v>
      </c>
      <c r="J32" s="10">
        <v>35</v>
      </c>
      <c r="K32" s="21"/>
      <c r="L32" s="12"/>
      <c r="M32" s="22">
        <f>C32-H32-I32+L32-K32-J32</f>
        <v>1385.6</v>
      </c>
      <c r="N32" s="14">
        <f t="shared" si="0"/>
        <v>4740</v>
      </c>
      <c r="O32" s="5">
        <v>0.03</v>
      </c>
      <c r="P32" s="33">
        <f t="shared" si="1"/>
        <v>138.56</v>
      </c>
      <c r="Q32" s="33">
        <f t="shared" si="2"/>
        <v>149.6448</v>
      </c>
    </row>
    <row r="33" spans="1:17" s="55" customFormat="1" x14ac:dyDescent="0.25">
      <c r="A33" s="5">
        <v>260</v>
      </c>
      <c r="B33" s="6" t="s">
        <v>54</v>
      </c>
      <c r="C33" s="7">
        <v>5000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3354.2</v>
      </c>
      <c r="I33" s="10"/>
      <c r="J33" s="10"/>
      <c r="K33" s="11"/>
      <c r="L33" s="19"/>
      <c r="M33" s="13">
        <f t="shared" si="6"/>
        <v>1645.8000000000002</v>
      </c>
      <c r="N33" s="14">
        <f t="shared" si="0"/>
        <v>5000</v>
      </c>
      <c r="O33" s="5" t="s">
        <v>48</v>
      </c>
      <c r="P33" s="33">
        <f t="shared" si="1"/>
        <v>164.58000000000004</v>
      </c>
      <c r="Q33" s="33">
        <f t="shared" si="2"/>
        <v>177.74640000000005</v>
      </c>
    </row>
    <row r="34" spans="1:17" s="55" customFormat="1" x14ac:dyDescent="0.25">
      <c r="A34" s="5">
        <v>261</v>
      </c>
      <c r="B34" s="6" t="s">
        <v>55</v>
      </c>
      <c r="C34" s="7">
        <v>4000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2385.8000000000002</v>
      </c>
      <c r="I34" s="10">
        <v>225</v>
      </c>
      <c r="J34" s="10">
        <v>70</v>
      </c>
      <c r="K34" s="16">
        <v>898.62</v>
      </c>
      <c r="L34" s="19"/>
      <c r="M34" s="13">
        <f t="shared" si="6"/>
        <v>420.57999999999981</v>
      </c>
      <c r="N34" s="14">
        <f t="shared" si="0"/>
        <v>2806.38</v>
      </c>
      <c r="O34" s="5">
        <v>0.03</v>
      </c>
      <c r="P34" s="33">
        <f t="shared" si="1"/>
        <v>42.057999999999986</v>
      </c>
      <c r="Q34" s="33">
        <f t="shared" si="2"/>
        <v>45.422639999999987</v>
      </c>
    </row>
    <row r="35" spans="1:17" s="55" customFormat="1" x14ac:dyDescent="0.25">
      <c r="A35" s="5">
        <v>267</v>
      </c>
      <c r="B35" s="6" t="s">
        <v>56</v>
      </c>
      <c r="C35" s="7">
        <v>5000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2855.4</v>
      </c>
      <c r="I35" s="10">
        <v>225</v>
      </c>
      <c r="J35" s="10">
        <v>140</v>
      </c>
      <c r="K35" s="16">
        <v>428.85</v>
      </c>
      <c r="L35" s="12"/>
      <c r="M35" s="13">
        <f t="shared" si="6"/>
        <v>1350.75</v>
      </c>
      <c r="N35" s="14">
        <f t="shared" si="0"/>
        <v>4206.1499999999996</v>
      </c>
      <c r="O35" s="5" t="s">
        <v>47</v>
      </c>
      <c r="P35" s="33">
        <f t="shared" si="1"/>
        <v>135.07500000000002</v>
      </c>
      <c r="Q35" s="33">
        <f t="shared" si="2"/>
        <v>145.88100000000003</v>
      </c>
    </row>
    <row r="36" spans="1:17" s="55" customFormat="1" x14ac:dyDescent="0.25">
      <c r="A36" s="5">
        <v>269</v>
      </c>
      <c r="B36" s="6" t="s">
        <v>58</v>
      </c>
      <c r="C36" s="7">
        <v>7000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3120.2</v>
      </c>
      <c r="I36" s="10">
        <v>150</v>
      </c>
      <c r="J36" s="10">
        <v>70</v>
      </c>
      <c r="K36" s="21">
        <v>293.92</v>
      </c>
      <c r="L36" s="19"/>
      <c r="M36" s="13">
        <f t="shared" si="6"/>
        <v>3365.88</v>
      </c>
      <c r="N36" s="14">
        <f>H36+M36</f>
        <v>6486.08</v>
      </c>
      <c r="O36" s="5" t="s">
        <v>118</v>
      </c>
      <c r="P36" s="33">
        <f t="shared" si="1"/>
        <v>336.58800000000002</v>
      </c>
      <c r="Q36" s="33">
        <f t="shared" si="2"/>
        <v>363.51504000000006</v>
      </c>
    </row>
    <row r="37" spans="1:17" s="55" customFormat="1" x14ac:dyDescent="0.25">
      <c r="A37" s="5">
        <v>271</v>
      </c>
      <c r="B37" s="6" t="s">
        <v>59</v>
      </c>
      <c r="C37" s="7">
        <v>3500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3090</v>
      </c>
      <c r="I37" s="10">
        <v>375</v>
      </c>
      <c r="J37" s="10">
        <v>35</v>
      </c>
      <c r="K37" s="21"/>
      <c r="L37" s="19"/>
      <c r="M37" s="22">
        <f>C37-H37-I37+L37-K37-J37</f>
        <v>0</v>
      </c>
      <c r="N37" s="14">
        <f t="shared" si="0"/>
        <v>3090</v>
      </c>
      <c r="O37" s="5">
        <v>0.03</v>
      </c>
      <c r="P37" s="33">
        <f t="shared" si="1"/>
        <v>0</v>
      </c>
      <c r="Q37" s="33">
        <f t="shared" si="2"/>
        <v>0</v>
      </c>
    </row>
    <row r="38" spans="1:17" s="55" customFormat="1" x14ac:dyDescent="0.25">
      <c r="A38" s="5">
        <v>275</v>
      </c>
      <c r="B38" s="6" t="s">
        <v>60</v>
      </c>
      <c r="C38" s="7">
        <v>3375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3060.8</v>
      </c>
      <c r="I38" s="10"/>
      <c r="J38" s="10"/>
      <c r="K38" s="21">
        <v>314.32</v>
      </c>
      <c r="L38" s="19"/>
      <c r="M38" s="98">
        <f>C38-H38-I38+L38-K38-J38+0.12</f>
        <v>-1.7508217098338719E-13</v>
      </c>
      <c r="N38" s="14">
        <f>H38+M38</f>
        <v>3060.8</v>
      </c>
      <c r="O38" s="5">
        <v>0.03</v>
      </c>
      <c r="P38" s="33">
        <f>+M38*0.1</f>
        <v>-1.7508217098338721E-14</v>
      </c>
      <c r="Q38" s="33">
        <f>+P38*1.08</f>
        <v>-1.890887446620582E-14</v>
      </c>
    </row>
    <row r="39" spans="1:17" s="55" customFormat="1" x14ac:dyDescent="0.25">
      <c r="A39" s="5">
        <v>276</v>
      </c>
      <c r="B39" s="6" t="s">
        <v>61</v>
      </c>
      <c r="C39" s="7">
        <v>5000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3354.2</v>
      </c>
      <c r="I39" s="10">
        <v>300</v>
      </c>
      <c r="J39" s="10">
        <v>105</v>
      </c>
      <c r="K39" s="11"/>
      <c r="L39" s="19"/>
      <c r="M39" s="13">
        <f t="shared" si="6"/>
        <v>1240.8000000000002</v>
      </c>
      <c r="N39" s="14">
        <f t="shared" si="0"/>
        <v>4595</v>
      </c>
      <c r="O39" s="5">
        <v>0.03</v>
      </c>
      <c r="P39" s="33">
        <f t="shared" si="1"/>
        <v>124.08000000000003</v>
      </c>
      <c r="Q39" s="33">
        <f t="shared" si="2"/>
        <v>134.00640000000004</v>
      </c>
    </row>
    <row r="40" spans="1:17" s="55" customFormat="1" x14ac:dyDescent="0.25">
      <c r="A40" s="5">
        <v>279</v>
      </c>
      <c r="B40" s="6" t="s">
        <v>63</v>
      </c>
      <c r="C40" s="7">
        <v>4500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3354.2</v>
      </c>
      <c r="I40" s="10">
        <v>75</v>
      </c>
      <c r="J40" s="10">
        <v>105</v>
      </c>
      <c r="K40" s="21"/>
      <c r="L40" s="19"/>
      <c r="M40" s="22">
        <f>C40-H40-I40+L40-K40-J40</f>
        <v>965.80000000000018</v>
      </c>
      <c r="N40" s="14">
        <f t="shared" si="0"/>
        <v>4320</v>
      </c>
      <c r="O40" s="5" t="s">
        <v>118</v>
      </c>
      <c r="P40" s="33">
        <f t="shared" si="1"/>
        <v>96.580000000000027</v>
      </c>
      <c r="Q40" s="33">
        <f t="shared" si="2"/>
        <v>104.30640000000004</v>
      </c>
    </row>
    <row r="41" spans="1:17" s="55" customFormat="1" x14ac:dyDescent="0.25">
      <c r="A41" s="5">
        <v>280</v>
      </c>
      <c r="B41" s="6" t="s">
        <v>64</v>
      </c>
      <c r="C41" s="7">
        <v>5000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3354.2</v>
      </c>
      <c r="I41" s="10"/>
      <c r="J41" s="10"/>
      <c r="K41" s="11"/>
      <c r="L41" s="19"/>
      <c r="M41" s="13">
        <f t="shared" si="6"/>
        <v>1645.8000000000002</v>
      </c>
      <c r="N41" s="14">
        <f t="shared" si="0"/>
        <v>5000</v>
      </c>
      <c r="O41" s="5" t="s">
        <v>119</v>
      </c>
      <c r="P41" s="33">
        <f t="shared" si="1"/>
        <v>164.58000000000004</v>
      </c>
      <c r="Q41" s="33">
        <f t="shared" si="2"/>
        <v>177.74640000000005</v>
      </c>
    </row>
    <row r="42" spans="1:17" s="55" customFormat="1" x14ac:dyDescent="0.25">
      <c r="A42" s="5">
        <v>281</v>
      </c>
      <c r="B42" s="6" t="s">
        <v>65</v>
      </c>
      <c r="C42" s="7">
        <v>8750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3354.2</v>
      </c>
      <c r="I42" s="10"/>
      <c r="J42" s="10"/>
      <c r="K42" s="11"/>
      <c r="L42" s="19"/>
      <c r="M42" s="13">
        <f t="shared" si="6"/>
        <v>5395.8</v>
      </c>
      <c r="N42" s="14">
        <f t="shared" si="0"/>
        <v>8750</v>
      </c>
      <c r="O42" s="5">
        <v>0.03</v>
      </c>
      <c r="P42" s="33">
        <f t="shared" si="1"/>
        <v>539.58000000000004</v>
      </c>
      <c r="Q42" s="33">
        <f t="shared" si="2"/>
        <v>582.74640000000011</v>
      </c>
    </row>
    <row r="43" spans="1:17" s="55" customFormat="1" x14ac:dyDescent="0.25">
      <c r="A43" s="5">
        <v>283</v>
      </c>
      <c r="B43" s="6" t="s">
        <v>66</v>
      </c>
      <c r="C43" s="7">
        <v>5000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3354.2</v>
      </c>
      <c r="I43" s="10"/>
      <c r="J43" s="10">
        <v>35</v>
      </c>
      <c r="K43" s="21"/>
      <c r="L43" s="12"/>
      <c r="M43" s="13">
        <f t="shared" si="6"/>
        <v>1610.8000000000002</v>
      </c>
      <c r="N43" s="14">
        <f t="shared" si="0"/>
        <v>4965</v>
      </c>
      <c r="O43" s="5">
        <v>0.03</v>
      </c>
      <c r="P43" s="33">
        <f t="shared" si="1"/>
        <v>161.08000000000004</v>
      </c>
      <c r="Q43" s="33">
        <f t="shared" si="2"/>
        <v>173.96640000000005</v>
      </c>
    </row>
    <row r="44" spans="1:17" s="55" customFormat="1" x14ac:dyDescent="0.25">
      <c r="A44" s="5">
        <v>284</v>
      </c>
      <c r="B44" s="6" t="s">
        <v>67</v>
      </c>
      <c r="C44" s="7">
        <v>4000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3354.4</v>
      </c>
      <c r="I44" s="10"/>
      <c r="J44" s="10"/>
      <c r="K44" s="11"/>
      <c r="L44" s="19"/>
      <c r="M44" s="13">
        <f t="shared" si="6"/>
        <v>645.59999999999991</v>
      </c>
      <c r="N44" s="14">
        <f t="shared" si="0"/>
        <v>4000</v>
      </c>
      <c r="O44" s="5" t="s">
        <v>48</v>
      </c>
      <c r="P44" s="33">
        <f t="shared" si="1"/>
        <v>64.559999999999988</v>
      </c>
      <c r="Q44" s="33">
        <f t="shared" si="2"/>
        <v>69.724799999999988</v>
      </c>
    </row>
    <row r="45" spans="1:17" s="55" customFormat="1" x14ac:dyDescent="0.25">
      <c r="A45" s="5">
        <v>285</v>
      </c>
      <c r="B45" s="6" t="s">
        <v>68</v>
      </c>
      <c r="C45" s="7">
        <v>4000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3354.4</v>
      </c>
      <c r="I45" s="10"/>
      <c r="J45" s="10"/>
      <c r="K45" s="21"/>
      <c r="L45" s="19"/>
      <c r="M45" s="13">
        <f>C45-H45-I45+L45-K45-J45</f>
        <v>645.59999999999991</v>
      </c>
      <c r="N45" s="14">
        <f t="shared" si="0"/>
        <v>4000</v>
      </c>
      <c r="O45" s="5" t="s">
        <v>48</v>
      </c>
      <c r="P45" s="33">
        <f t="shared" si="1"/>
        <v>64.559999999999988</v>
      </c>
      <c r="Q45" s="33">
        <f t="shared" si="2"/>
        <v>69.724799999999988</v>
      </c>
    </row>
    <row r="46" spans="1:17" s="55" customFormat="1" x14ac:dyDescent="0.25">
      <c r="A46" s="5">
        <v>286</v>
      </c>
      <c r="B46" s="6" t="s">
        <v>69</v>
      </c>
      <c r="C46" s="7">
        <v>4000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3354.2</v>
      </c>
      <c r="I46" s="10">
        <v>375</v>
      </c>
      <c r="J46" s="10"/>
      <c r="K46" s="11"/>
      <c r="L46" s="19"/>
      <c r="M46" s="13">
        <f t="shared" si="6"/>
        <v>270.80000000000018</v>
      </c>
      <c r="N46" s="14">
        <f t="shared" si="0"/>
        <v>3625</v>
      </c>
      <c r="O46" s="5" t="s">
        <v>118</v>
      </c>
      <c r="P46" s="33">
        <f t="shared" si="1"/>
        <v>27.08000000000002</v>
      </c>
      <c r="Q46" s="33">
        <f t="shared" si="2"/>
        <v>29.246400000000023</v>
      </c>
    </row>
    <row r="47" spans="1:17" s="55" customFormat="1" x14ac:dyDescent="0.25">
      <c r="A47" s="5">
        <v>287</v>
      </c>
      <c r="B47" s="6" t="s">
        <v>72</v>
      </c>
      <c r="C47" s="7">
        <v>5000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3120.4</v>
      </c>
      <c r="I47" s="10">
        <v>150</v>
      </c>
      <c r="J47" s="10">
        <v>70</v>
      </c>
      <c r="K47" s="21">
        <v>293.92</v>
      </c>
      <c r="L47" s="19"/>
      <c r="M47" s="13">
        <f>C47-H47-I47+L47-K47-J47</f>
        <v>1365.6799999999998</v>
      </c>
      <c r="N47" s="14">
        <f t="shared" si="0"/>
        <v>4486.08</v>
      </c>
      <c r="O47" s="5" t="s">
        <v>118</v>
      </c>
      <c r="P47" s="33">
        <f t="shared" si="1"/>
        <v>136.56799999999998</v>
      </c>
      <c r="Q47" s="33">
        <f t="shared" si="2"/>
        <v>147.49343999999999</v>
      </c>
    </row>
    <row r="48" spans="1:17" x14ac:dyDescent="0.25">
      <c r="A48" s="5">
        <v>288</v>
      </c>
      <c r="B48" s="6" t="s">
        <v>73</v>
      </c>
      <c r="C48" s="7">
        <v>3500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/>
      <c r="J48" s="10"/>
      <c r="K48" s="11"/>
      <c r="L48" s="19"/>
      <c r="M48" s="13">
        <f>C48-H48-I48+L48-K48-J48</f>
        <v>145.59999999999991</v>
      </c>
      <c r="N48" s="14">
        <f t="shared" si="0"/>
        <v>3500</v>
      </c>
      <c r="O48" s="5">
        <v>0.03</v>
      </c>
      <c r="P48" s="33">
        <f t="shared" si="1"/>
        <v>14.559999999999992</v>
      </c>
      <c r="Q48" s="33">
        <f t="shared" si="2"/>
        <v>15.724799999999991</v>
      </c>
    </row>
    <row r="49" spans="1:18" x14ac:dyDescent="0.25">
      <c r="A49" s="5">
        <v>289</v>
      </c>
      <c r="B49" s="6" t="s">
        <v>74</v>
      </c>
      <c r="C49" s="7">
        <v>3500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3354.4</v>
      </c>
      <c r="I49" s="10"/>
      <c r="J49" s="10"/>
      <c r="K49" s="11"/>
      <c r="L49" s="19"/>
      <c r="M49" s="13">
        <f t="shared" si="6"/>
        <v>145.59999999999991</v>
      </c>
      <c r="N49" s="14">
        <f t="shared" si="0"/>
        <v>3500</v>
      </c>
      <c r="O49" s="5">
        <v>0.03</v>
      </c>
      <c r="P49" s="33">
        <f t="shared" si="1"/>
        <v>14.559999999999992</v>
      </c>
      <c r="Q49" s="33">
        <f t="shared" si="2"/>
        <v>15.724799999999991</v>
      </c>
    </row>
    <row r="50" spans="1:18" x14ac:dyDescent="0.25">
      <c r="A50" s="5">
        <v>291</v>
      </c>
      <c r="B50" s="6" t="s">
        <v>78</v>
      </c>
      <c r="C50" s="7">
        <v>4250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3354.4</v>
      </c>
      <c r="I50" s="10">
        <v>75</v>
      </c>
      <c r="J50" s="10">
        <v>35</v>
      </c>
      <c r="K50" s="11"/>
      <c r="L50" s="19"/>
      <c r="M50" s="13">
        <f t="shared" si="6"/>
        <v>785.59999999999991</v>
      </c>
      <c r="N50" s="14">
        <f t="shared" si="0"/>
        <v>4140</v>
      </c>
      <c r="O50" s="5">
        <v>0.03</v>
      </c>
      <c r="P50" s="33">
        <f t="shared" si="1"/>
        <v>78.56</v>
      </c>
      <c r="Q50" s="33">
        <f t="shared" si="2"/>
        <v>84.844800000000006</v>
      </c>
    </row>
    <row r="51" spans="1:18" x14ac:dyDescent="0.25">
      <c r="A51" s="5">
        <v>293</v>
      </c>
      <c r="B51" s="6" t="s">
        <v>89</v>
      </c>
      <c r="C51" s="7">
        <v>4000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225</v>
      </c>
      <c r="J51" s="10">
        <v>70</v>
      </c>
      <c r="K51" s="11"/>
      <c r="L51" s="12"/>
      <c r="M51" s="13">
        <f t="shared" si="6"/>
        <v>350.59999999999991</v>
      </c>
      <c r="N51" s="14">
        <f t="shared" si="0"/>
        <v>3705</v>
      </c>
      <c r="O51" s="5">
        <v>0.03</v>
      </c>
      <c r="P51" s="33">
        <f t="shared" si="1"/>
        <v>35.059999999999995</v>
      </c>
      <c r="Q51" s="33">
        <f t="shared" si="2"/>
        <v>37.864799999999995</v>
      </c>
    </row>
    <row r="52" spans="1:18" x14ac:dyDescent="0.25">
      <c r="A52" s="5">
        <v>294</v>
      </c>
      <c r="B52" s="6" t="s">
        <v>91</v>
      </c>
      <c r="C52" s="7">
        <v>4000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375</v>
      </c>
      <c r="J52" s="10">
        <v>140</v>
      </c>
      <c r="K52" s="11"/>
      <c r="L52" s="12"/>
      <c r="M52" s="22">
        <f t="shared" si="6"/>
        <v>130.59999999999991</v>
      </c>
      <c r="N52" s="14">
        <f t="shared" si="0"/>
        <v>3485</v>
      </c>
      <c r="O52" s="5">
        <v>0.03</v>
      </c>
      <c r="P52" s="33">
        <f t="shared" si="1"/>
        <v>13.059999999999992</v>
      </c>
      <c r="Q52" s="33">
        <f t="shared" si="2"/>
        <v>14.104799999999992</v>
      </c>
    </row>
    <row r="53" spans="1:18" x14ac:dyDescent="0.25">
      <c r="A53" s="5">
        <v>295</v>
      </c>
      <c r="B53" s="6" t="s">
        <v>104</v>
      </c>
      <c r="C53" s="7">
        <v>5500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3354.2</v>
      </c>
      <c r="I53" s="10">
        <v>375</v>
      </c>
      <c r="J53" s="10">
        <v>105</v>
      </c>
      <c r="K53" s="11"/>
      <c r="L53" s="12"/>
      <c r="M53" s="22">
        <f t="shared" si="6"/>
        <v>1665.8000000000002</v>
      </c>
      <c r="N53" s="14">
        <f t="shared" si="0"/>
        <v>5020</v>
      </c>
      <c r="O53" s="5" t="s">
        <v>118</v>
      </c>
      <c r="P53" s="33">
        <f t="shared" si="1"/>
        <v>166.58000000000004</v>
      </c>
      <c r="Q53" s="33">
        <f t="shared" si="2"/>
        <v>179.90640000000005</v>
      </c>
    </row>
    <row r="54" spans="1:18" x14ac:dyDescent="0.25">
      <c r="A54" s="42">
        <v>297</v>
      </c>
      <c r="B54" s="43" t="s">
        <v>110</v>
      </c>
      <c r="C54" s="44">
        <v>4000</v>
      </c>
      <c r="D54" s="44">
        <v>419.88</v>
      </c>
      <c r="E54" s="45">
        <f t="shared" si="3"/>
        <v>2519.2799999999997</v>
      </c>
      <c r="F54" s="45">
        <f t="shared" si="4"/>
        <v>419.88</v>
      </c>
      <c r="G54" s="46">
        <f t="shared" si="5"/>
        <v>2939.16</v>
      </c>
      <c r="H54" s="47">
        <v>6315.2</v>
      </c>
      <c r="I54" s="48"/>
      <c r="J54" s="48"/>
      <c r="K54" s="49"/>
      <c r="L54" s="50"/>
      <c r="M54" s="51"/>
      <c r="N54" s="52">
        <f>H54+M54</f>
        <v>6315.2</v>
      </c>
      <c r="O54" s="42" t="s">
        <v>50</v>
      </c>
      <c r="P54" s="54">
        <f>+M54*0.1</f>
        <v>0</v>
      </c>
      <c r="Q54" s="54">
        <f>+P54*1.08</f>
        <v>0</v>
      </c>
    </row>
    <row r="55" spans="1:18" x14ac:dyDescent="0.25">
      <c r="A55" s="5">
        <v>298</v>
      </c>
      <c r="B55" s="6" t="s">
        <v>115</v>
      </c>
      <c r="C55" s="7">
        <v>5000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1846</v>
      </c>
      <c r="I55" s="10">
        <v>225</v>
      </c>
      <c r="J55" s="10">
        <v>140</v>
      </c>
      <c r="K55" s="16">
        <v>1438.36</v>
      </c>
      <c r="L55" s="12"/>
      <c r="M55" s="22">
        <f t="shared" si="6"/>
        <v>1350.64</v>
      </c>
      <c r="N55" s="14">
        <f t="shared" si="0"/>
        <v>3196.6400000000003</v>
      </c>
      <c r="O55" s="5">
        <v>0.03</v>
      </c>
      <c r="P55" s="33">
        <f t="shared" si="1"/>
        <v>135.06400000000002</v>
      </c>
      <c r="Q55" s="33">
        <f t="shared" si="2"/>
        <v>145.86912000000004</v>
      </c>
    </row>
    <row r="56" spans="1:18" x14ac:dyDescent="0.25">
      <c r="A56" s="5">
        <v>299</v>
      </c>
      <c r="B56" s="6" t="s">
        <v>116</v>
      </c>
      <c r="C56" s="7">
        <v>4000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2781.6</v>
      </c>
      <c r="I56" s="10">
        <v>375</v>
      </c>
      <c r="J56" s="10">
        <v>175</v>
      </c>
      <c r="K56" s="11">
        <v>668.6</v>
      </c>
      <c r="L56" s="12"/>
      <c r="M56" s="22">
        <f>C56-H56-I56+L56-K56-J56+0.2</f>
        <v>6.8223204863215869E-14</v>
      </c>
      <c r="N56" s="14">
        <f t="shared" si="0"/>
        <v>2781.6</v>
      </c>
      <c r="O56" s="5">
        <v>0.03</v>
      </c>
      <c r="P56" s="33">
        <f t="shared" si="1"/>
        <v>6.8223204863215873E-15</v>
      </c>
      <c r="Q56" s="33">
        <f t="shared" si="2"/>
        <v>7.3681061252273154E-15</v>
      </c>
    </row>
    <row r="57" spans="1:18" x14ac:dyDescent="0.25">
      <c r="A57" s="5">
        <v>300</v>
      </c>
      <c r="B57" s="6" t="s">
        <v>121</v>
      </c>
      <c r="C57" s="7">
        <v>6250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3354.2</v>
      </c>
      <c r="I57" s="10"/>
      <c r="J57" s="10"/>
      <c r="K57" s="11"/>
      <c r="L57" s="12"/>
      <c r="M57" s="22">
        <f t="shared" si="6"/>
        <v>2895.8</v>
      </c>
      <c r="N57" s="14">
        <f t="shared" si="0"/>
        <v>6250</v>
      </c>
      <c r="O57" s="5">
        <v>0.03</v>
      </c>
      <c r="P57" s="33">
        <f t="shared" si="1"/>
        <v>289.58000000000004</v>
      </c>
      <c r="Q57" s="33">
        <f t="shared" si="2"/>
        <v>312.74640000000005</v>
      </c>
    </row>
    <row r="58" spans="1:18" x14ac:dyDescent="0.25">
      <c r="A58" s="5">
        <v>301</v>
      </c>
      <c r="B58" s="6" t="s">
        <v>124</v>
      </c>
      <c r="C58" s="7">
        <v>5000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3354.4</v>
      </c>
      <c r="I58" s="10"/>
      <c r="J58" s="10"/>
      <c r="K58" s="11"/>
      <c r="L58" s="12"/>
      <c r="M58" s="22">
        <f t="shared" si="6"/>
        <v>1645.6</v>
      </c>
      <c r="N58" s="14">
        <f t="shared" si="0"/>
        <v>5000</v>
      </c>
      <c r="O58" s="5">
        <v>0.03</v>
      </c>
      <c r="P58" s="33">
        <f t="shared" si="1"/>
        <v>164.56</v>
      </c>
      <c r="Q58" s="33">
        <f t="shared" si="2"/>
        <v>177.72480000000002</v>
      </c>
    </row>
    <row r="59" spans="1:18" x14ac:dyDescent="0.25">
      <c r="A59" s="5">
        <v>302</v>
      </c>
      <c r="B59" s="6" t="s">
        <v>128</v>
      </c>
      <c r="C59" s="7">
        <v>5000</v>
      </c>
      <c r="D59" s="7">
        <v>419.88</v>
      </c>
      <c r="E59" s="8">
        <f t="shared" si="3"/>
        <v>2519.2799999999997</v>
      </c>
      <c r="F59" s="8">
        <f t="shared" si="4"/>
        <v>419.88</v>
      </c>
      <c r="G59" s="9">
        <f t="shared" si="5"/>
        <v>2939.16</v>
      </c>
      <c r="H59" s="37">
        <v>3354.4</v>
      </c>
      <c r="I59" s="10">
        <v>375</v>
      </c>
      <c r="J59" s="10">
        <v>70</v>
      </c>
      <c r="K59" s="11"/>
      <c r="L59" s="12"/>
      <c r="M59" s="22">
        <f t="shared" si="6"/>
        <v>1200.5999999999999</v>
      </c>
      <c r="N59" s="14">
        <f t="shared" si="0"/>
        <v>4555</v>
      </c>
      <c r="O59" s="5">
        <v>0.03</v>
      </c>
      <c r="P59" s="33">
        <f t="shared" si="1"/>
        <v>120.06</v>
      </c>
      <c r="Q59" s="33">
        <f t="shared" si="2"/>
        <v>129.66480000000001</v>
      </c>
    </row>
    <row r="60" spans="1:18" x14ac:dyDescent="0.25">
      <c r="A60" s="5">
        <v>303</v>
      </c>
      <c r="B60" s="6" t="s">
        <v>129</v>
      </c>
      <c r="C60" s="7">
        <v>3500</v>
      </c>
      <c r="D60" s="7">
        <v>419.88</v>
      </c>
      <c r="E60" s="8">
        <f t="shared" si="3"/>
        <v>2519.2799999999997</v>
      </c>
      <c r="F60" s="8">
        <f t="shared" si="4"/>
        <v>419.88</v>
      </c>
      <c r="G60" s="9">
        <f t="shared" si="5"/>
        <v>2939.16</v>
      </c>
      <c r="H60" s="37">
        <v>3354.4</v>
      </c>
      <c r="I60" s="10"/>
      <c r="J60" s="10"/>
      <c r="K60" s="11"/>
      <c r="L60" s="12"/>
      <c r="M60" s="22">
        <f t="shared" si="6"/>
        <v>145.59999999999991</v>
      </c>
      <c r="N60" s="14">
        <f t="shared" si="0"/>
        <v>3500</v>
      </c>
      <c r="O60" s="5">
        <v>0.03</v>
      </c>
      <c r="P60" s="33">
        <f t="shared" si="1"/>
        <v>14.559999999999992</v>
      </c>
      <c r="Q60" s="33">
        <f t="shared" si="2"/>
        <v>15.724799999999991</v>
      </c>
    </row>
    <row r="61" spans="1:18" x14ac:dyDescent="0.25">
      <c r="A61" s="5">
        <v>304</v>
      </c>
      <c r="B61" s="6" t="s">
        <v>131</v>
      </c>
      <c r="C61" s="7">
        <v>4500</v>
      </c>
      <c r="D61" s="7">
        <v>419.88</v>
      </c>
      <c r="E61" s="8">
        <f>D61*6</f>
        <v>2519.2799999999997</v>
      </c>
      <c r="F61" s="8">
        <f t="shared" si="4"/>
        <v>419.88</v>
      </c>
      <c r="G61" s="9">
        <f>E61+F61</f>
        <v>2939.16</v>
      </c>
      <c r="H61" s="37">
        <v>3354.4</v>
      </c>
      <c r="I61" s="10">
        <v>375</v>
      </c>
      <c r="J61" s="10"/>
      <c r="K61" s="11"/>
      <c r="L61" s="12"/>
      <c r="M61" s="22">
        <f>C61-H61-I61+L61-K61-J61</f>
        <v>770.59999999999991</v>
      </c>
      <c r="N61" s="14">
        <f>H61+M61</f>
        <v>4125</v>
      </c>
      <c r="O61" s="5">
        <v>0.03</v>
      </c>
      <c r="P61" s="33">
        <f>+M61*0.1</f>
        <v>77.06</v>
      </c>
      <c r="Q61" s="33">
        <f>+P61*1.08</f>
        <v>83.224800000000002</v>
      </c>
    </row>
    <row r="62" spans="1:18" x14ac:dyDescent="0.25">
      <c r="A62" s="5">
        <v>305</v>
      </c>
      <c r="B62" s="6" t="s">
        <v>132</v>
      </c>
      <c r="C62" s="7">
        <v>4000</v>
      </c>
      <c r="D62" s="7">
        <v>419.88</v>
      </c>
      <c r="E62" s="8">
        <f t="shared" si="3"/>
        <v>2519.2799999999997</v>
      </c>
      <c r="F62" s="8">
        <f t="shared" si="4"/>
        <v>419.88</v>
      </c>
      <c r="G62" s="9">
        <f t="shared" si="5"/>
        <v>2939.16</v>
      </c>
      <c r="H62" s="37">
        <f>C62-I62</f>
        <v>3625</v>
      </c>
      <c r="I62" s="10">
        <v>375</v>
      </c>
      <c r="J62" s="10"/>
      <c r="K62" s="11"/>
      <c r="L62" s="12"/>
      <c r="M62" s="22"/>
      <c r="N62" s="14">
        <f t="shared" si="0"/>
        <v>3625</v>
      </c>
      <c r="O62" s="5">
        <v>0.03</v>
      </c>
      <c r="P62" s="33">
        <f t="shared" si="1"/>
        <v>0</v>
      </c>
      <c r="Q62" s="33">
        <f t="shared" si="2"/>
        <v>0</v>
      </c>
    </row>
    <row r="63" spans="1:18" ht="16.149999999999999" customHeight="1" thickBot="1" x14ac:dyDescent="0.3"/>
    <row r="64" spans="1:18" ht="18" thickBot="1" x14ac:dyDescent="0.35">
      <c r="A64" s="23"/>
      <c r="B64" s="24"/>
      <c r="C64" s="25">
        <f>SUM(C4:C63)</f>
        <v>292875</v>
      </c>
      <c r="D64" s="25">
        <f t="shared" ref="D64:K64" si="7">SUM(D4:D63)</f>
        <v>24772.920000000006</v>
      </c>
      <c r="E64" s="25">
        <f t="shared" si="7"/>
        <v>146118.23999999996</v>
      </c>
      <c r="F64" s="25">
        <f t="shared" si="7"/>
        <v>24353.040000000005</v>
      </c>
      <c r="G64" s="25">
        <f t="shared" si="7"/>
        <v>170471.28000000014</v>
      </c>
      <c r="H64" s="25">
        <f>SUM(H4:H63)</f>
        <v>199681.79999999993</v>
      </c>
      <c r="I64" s="26">
        <f t="shared" si="7"/>
        <v>9750</v>
      </c>
      <c r="J64" s="26">
        <f t="shared" si="7"/>
        <v>3115</v>
      </c>
      <c r="K64" s="26">
        <f t="shared" si="7"/>
        <v>11133.740000000002</v>
      </c>
      <c r="L64" s="27">
        <f>SUM(L4:L63)</f>
        <v>0</v>
      </c>
      <c r="M64" s="25">
        <f>SUM(M4:M63)</f>
        <v>82035.220000000074</v>
      </c>
      <c r="N64" s="25">
        <f>SUM(N4:N63)</f>
        <v>281717.02</v>
      </c>
      <c r="P64" s="25">
        <f>SUM(P4:P63)</f>
        <v>8203.5220000000045</v>
      </c>
      <c r="Q64" s="25">
        <f>SUM(Q4:Q63)</f>
        <v>8859.8037600000043</v>
      </c>
      <c r="R64" s="55">
        <f>+N64+Q64</f>
        <v>290576.82376</v>
      </c>
    </row>
    <row r="65" spans="9:10" x14ac:dyDescent="0.25">
      <c r="I65" s="15">
        <f>I64/75</f>
        <v>130</v>
      </c>
      <c r="J65" s="15">
        <f>J64/35</f>
        <v>89</v>
      </c>
    </row>
  </sheetData>
  <autoFilter ref="A3:Q62" xr:uid="{00000000-0009-0000-0000-000019000000}"/>
  <mergeCells count="2">
    <mergeCell ref="A1:N1"/>
    <mergeCell ref="A2:N2"/>
  </mergeCells>
  <pageMargins left="0.25" right="0.25" top="0.75" bottom="0.75" header="0.3" footer="0.3"/>
  <pageSetup scale="51" orientation="landscape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7B763-C3B6-468A-B63C-159CAF1FD4AD}">
  <sheetPr codeName="Hoja35">
    <pageSetUpPr fitToPage="1"/>
  </sheetPr>
  <dimension ref="A1:R63"/>
  <sheetViews>
    <sheetView showGridLines="0" topLeftCell="B33" zoomScaleNormal="100" workbookViewId="0">
      <selection activeCell="I44" sqref="I44:J44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134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60" si="0">H4+M4</f>
        <v>0</v>
      </c>
      <c r="O4" s="81" t="s">
        <v>48</v>
      </c>
      <c r="P4" s="82">
        <f t="shared" ref="P4:P60" si="1">+M4*0.1</f>
        <v>0</v>
      </c>
      <c r="Q4" s="82">
        <f t="shared" ref="Q4:Q60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0" si="3">D5*6</f>
        <v>2519.2799999999997</v>
      </c>
      <c r="F5" s="8">
        <f t="shared" ref="F5:F60" si="4">$D$4</f>
        <v>419.88</v>
      </c>
      <c r="G5" s="9">
        <f t="shared" ref="G5:G60" si="5">E5+F5</f>
        <v>2939.16</v>
      </c>
      <c r="H5" s="37">
        <v>3354.4</v>
      </c>
      <c r="I5" s="10">
        <v>375</v>
      </c>
      <c r="J5" s="10">
        <v>0</v>
      </c>
      <c r="K5" s="11"/>
      <c r="L5" s="19"/>
      <c r="M5" s="13">
        <f>C5-H5-I5+L5-K5-J5</f>
        <v>270.59999999999991</v>
      </c>
      <c r="N5" s="14">
        <f t="shared" si="0"/>
        <v>3625</v>
      </c>
      <c r="O5" s="29" t="s">
        <v>47</v>
      </c>
      <c r="P5" s="33">
        <f t="shared" si="1"/>
        <v>27.059999999999992</v>
      </c>
      <c r="Q5" s="33">
        <f t="shared" si="2"/>
        <v>29.224799999999991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7">
        <v>3354.4</v>
      </c>
      <c r="I6" s="18">
        <v>75</v>
      </c>
      <c r="J6" s="18">
        <v>70</v>
      </c>
      <c r="K6" s="21"/>
      <c r="L6" s="19"/>
      <c r="M6" s="13">
        <f>C6-H6-I6+L6-K6-J6</f>
        <v>11500.6</v>
      </c>
      <c r="N6" s="14">
        <f>H6+M6</f>
        <v>14855</v>
      </c>
      <c r="O6" s="30" t="s">
        <v>118</v>
      </c>
      <c r="P6" s="33">
        <f t="shared" si="1"/>
        <v>1150.0600000000002</v>
      </c>
      <c r="Q6" s="33">
        <f t="shared" si="2"/>
        <v>1242.0648000000003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7">
        <v>3354.2</v>
      </c>
      <c r="I7" s="10">
        <v>225</v>
      </c>
      <c r="J7" s="10">
        <v>140</v>
      </c>
      <c r="K7" s="21"/>
      <c r="L7" s="19"/>
      <c r="M7" s="13">
        <f t="shared" ref="M7:M59" si="6">C7-H7-I7+L7-K7-J7</f>
        <v>1280.8000000000002</v>
      </c>
      <c r="N7" s="14">
        <f t="shared" si="0"/>
        <v>4635</v>
      </c>
      <c r="O7" s="36" t="s">
        <v>118</v>
      </c>
      <c r="P7" s="33">
        <f t="shared" si="1"/>
        <v>128.08000000000001</v>
      </c>
      <c r="Q7" s="33">
        <f t="shared" si="2"/>
        <v>138.32640000000004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3432</v>
      </c>
      <c r="I8" s="10">
        <v>225</v>
      </c>
      <c r="J8" s="10">
        <v>70</v>
      </c>
      <c r="K8" s="11"/>
      <c r="L8" s="12">
        <v>321.43</v>
      </c>
      <c r="M8" s="13">
        <f t="shared" si="6"/>
        <v>1094.43</v>
      </c>
      <c r="N8" s="14">
        <f t="shared" si="0"/>
        <v>4526.43</v>
      </c>
      <c r="O8" s="30" t="s">
        <v>118</v>
      </c>
      <c r="P8" s="33">
        <f t="shared" si="1"/>
        <v>109.44300000000001</v>
      </c>
      <c r="Q8" s="33">
        <f t="shared" si="2"/>
        <v>118.19844000000002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3120.4</v>
      </c>
      <c r="I9" s="10">
        <v>0</v>
      </c>
      <c r="J9" s="10">
        <v>70</v>
      </c>
      <c r="K9" s="21">
        <v>293.92</v>
      </c>
      <c r="L9" s="12"/>
      <c r="M9" s="22">
        <f t="shared" si="6"/>
        <v>515.67999999999984</v>
      </c>
      <c r="N9" s="14">
        <f t="shared" si="0"/>
        <v>3636.08</v>
      </c>
      <c r="O9" s="30" t="s">
        <v>47</v>
      </c>
      <c r="P9" s="33">
        <f t="shared" si="1"/>
        <v>51.567999999999984</v>
      </c>
      <c r="Q9" s="33">
        <f t="shared" si="2"/>
        <v>55.693439999999988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3354.4</v>
      </c>
      <c r="I10" s="10">
        <v>0</v>
      </c>
      <c r="J10" s="10">
        <v>0</v>
      </c>
      <c r="K10" s="100"/>
      <c r="L10" s="19"/>
      <c r="M10" s="22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3432.2</v>
      </c>
      <c r="I11" s="10">
        <v>0</v>
      </c>
      <c r="J11" s="10">
        <v>0</v>
      </c>
      <c r="K11" s="11"/>
      <c r="L11" s="12">
        <v>500</v>
      </c>
      <c r="M11" s="13">
        <f t="shared" si="6"/>
        <v>4067.8</v>
      </c>
      <c r="N11" s="14">
        <f t="shared" si="0"/>
        <v>7500</v>
      </c>
      <c r="O11" s="30" t="s">
        <v>118</v>
      </c>
      <c r="P11" s="33">
        <f t="shared" si="1"/>
        <v>406.78000000000003</v>
      </c>
      <c r="Q11" s="33">
        <f t="shared" si="2"/>
        <v>439.32240000000007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3354.4</v>
      </c>
      <c r="I12" s="10">
        <v>225</v>
      </c>
      <c r="J12" s="10">
        <v>70</v>
      </c>
      <c r="K12" s="11"/>
      <c r="L12" s="12"/>
      <c r="M12" s="13">
        <f t="shared" si="6"/>
        <v>1350.6</v>
      </c>
      <c r="N12" s="14">
        <f t="shared" si="0"/>
        <v>4705</v>
      </c>
      <c r="O12" s="30">
        <v>0.03</v>
      </c>
      <c r="P12" s="33">
        <f t="shared" si="1"/>
        <v>135.06</v>
      </c>
      <c r="Q12" s="33">
        <f t="shared" si="2"/>
        <v>145.8648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3205</v>
      </c>
      <c r="I13" s="10">
        <v>225</v>
      </c>
      <c r="J13" s="10">
        <v>70</v>
      </c>
      <c r="K13" s="21"/>
      <c r="L13" s="19"/>
      <c r="M13" s="13">
        <f t="shared" si="6"/>
        <v>0</v>
      </c>
      <c r="N13" s="14">
        <f t="shared" si="0"/>
        <v>3205</v>
      </c>
      <c r="O13" s="30">
        <v>0.03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7">
        <v>2879.2</v>
      </c>
      <c r="I14" s="10">
        <v>0</v>
      </c>
      <c r="J14" s="10">
        <v>140</v>
      </c>
      <c r="K14" s="21">
        <v>587.84</v>
      </c>
      <c r="L14" s="19"/>
      <c r="M14" s="22">
        <f t="shared" si="6"/>
        <v>392.96000000000015</v>
      </c>
      <c r="N14" s="14">
        <f t="shared" si="0"/>
        <v>3272.16</v>
      </c>
      <c r="O14" s="36" t="s">
        <v>50</v>
      </c>
      <c r="P14" s="33">
        <f t="shared" si="1"/>
        <v>39.296000000000021</v>
      </c>
      <c r="Q14" s="33">
        <f t="shared" si="2"/>
        <v>42.439680000000024</v>
      </c>
    </row>
    <row r="15" spans="1:17" x14ac:dyDescent="0.25">
      <c r="A15" s="5">
        <v>150</v>
      </c>
      <c r="B15" s="6" t="s">
        <v>24</v>
      </c>
      <c r="C15" s="7">
        <v>5000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>
        <v>0</v>
      </c>
      <c r="J15" s="10">
        <v>0</v>
      </c>
      <c r="K15" s="21"/>
      <c r="L15" s="19"/>
      <c r="M15" s="13">
        <f t="shared" si="6"/>
        <v>1645.6</v>
      </c>
      <c r="N15" s="14">
        <f t="shared" si="0"/>
        <v>5000</v>
      </c>
      <c r="O15" s="30" t="s">
        <v>47</v>
      </c>
      <c r="P15" s="33">
        <f t="shared" si="1"/>
        <v>164.56</v>
      </c>
      <c r="Q15" s="33">
        <f t="shared" si="2"/>
        <v>177.72480000000002</v>
      </c>
    </row>
    <row r="16" spans="1:17" x14ac:dyDescent="0.25">
      <c r="A16" s="5">
        <v>752</v>
      </c>
      <c r="B16" s="6" t="s">
        <v>25</v>
      </c>
      <c r="C16" s="7">
        <v>4500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2677.2</v>
      </c>
      <c r="I16" s="10">
        <v>375</v>
      </c>
      <c r="J16" s="10">
        <v>105</v>
      </c>
      <c r="K16" s="21">
        <f>752.14+244.93</f>
        <v>997.06999999999994</v>
      </c>
      <c r="L16" s="12"/>
      <c r="M16" s="13">
        <f>C16-H16-I16+L16-K16-J16</f>
        <v>345.73000000000025</v>
      </c>
      <c r="N16" s="14">
        <f t="shared" si="0"/>
        <v>3022.9300000000003</v>
      </c>
      <c r="O16" s="29">
        <v>0.03</v>
      </c>
      <c r="P16" s="33">
        <f t="shared" si="1"/>
        <v>34.573000000000029</v>
      </c>
      <c r="Q16" s="33">
        <f t="shared" si="2"/>
        <v>37.338840000000033</v>
      </c>
    </row>
    <row r="17" spans="1:17" s="55" customFormat="1" x14ac:dyDescent="0.25">
      <c r="A17" s="5">
        <v>162</v>
      </c>
      <c r="B17" s="6" t="s">
        <v>27</v>
      </c>
      <c r="C17" s="7">
        <v>4500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3120.4</v>
      </c>
      <c r="I17" s="10">
        <v>0</v>
      </c>
      <c r="J17" s="10">
        <v>70</v>
      </c>
      <c r="K17" s="21">
        <v>293.92</v>
      </c>
      <c r="L17" s="19"/>
      <c r="M17" s="13">
        <f t="shared" si="6"/>
        <v>1015.6799999999998</v>
      </c>
      <c r="N17" s="14">
        <f t="shared" si="0"/>
        <v>4136.08</v>
      </c>
      <c r="O17" s="29">
        <v>0.03</v>
      </c>
      <c r="P17" s="33">
        <f t="shared" si="1"/>
        <v>101.56799999999998</v>
      </c>
      <c r="Q17" s="33">
        <f t="shared" si="2"/>
        <v>109.69344</v>
      </c>
    </row>
    <row r="18" spans="1:17" s="55" customFormat="1" x14ac:dyDescent="0.25">
      <c r="A18" s="5">
        <v>174</v>
      </c>
      <c r="B18" s="6" t="s">
        <v>28</v>
      </c>
      <c r="C18" s="7">
        <v>10000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2390.6</v>
      </c>
      <c r="I18" s="10">
        <v>0</v>
      </c>
      <c r="J18" s="10">
        <v>0</v>
      </c>
      <c r="K18" s="16">
        <f>893.39+1697.53</f>
        <v>2590.92</v>
      </c>
      <c r="L18" s="12"/>
      <c r="M18" s="13">
        <f t="shared" si="6"/>
        <v>5018.4799999999996</v>
      </c>
      <c r="N18" s="14">
        <f t="shared" si="0"/>
        <v>7409.08</v>
      </c>
      <c r="O18" s="29" t="s">
        <v>50</v>
      </c>
      <c r="P18" s="33">
        <f t="shared" si="1"/>
        <v>501.84799999999996</v>
      </c>
      <c r="Q18" s="33">
        <f t="shared" si="2"/>
        <v>541.99584000000004</v>
      </c>
    </row>
    <row r="19" spans="1:17" s="55" customFormat="1" x14ac:dyDescent="0.25">
      <c r="A19" s="5">
        <v>184</v>
      </c>
      <c r="B19" s="6" t="s">
        <v>29</v>
      </c>
      <c r="C19" s="7">
        <v>8000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3354.2</v>
      </c>
      <c r="I19" s="10">
        <v>375</v>
      </c>
      <c r="J19" s="10">
        <v>140</v>
      </c>
      <c r="K19" s="21"/>
      <c r="L19" s="19"/>
      <c r="M19" s="13">
        <f t="shared" si="6"/>
        <v>4130.8</v>
      </c>
      <c r="N19" s="14">
        <f t="shared" si="0"/>
        <v>7485</v>
      </c>
      <c r="O19" s="29">
        <v>0.03</v>
      </c>
      <c r="P19" s="33">
        <f t="shared" si="1"/>
        <v>413.08000000000004</v>
      </c>
      <c r="Q19" s="33">
        <f t="shared" si="2"/>
        <v>446.12640000000005</v>
      </c>
    </row>
    <row r="20" spans="1:17" s="55" customFormat="1" ht="13.5" customHeight="1" x14ac:dyDescent="0.25">
      <c r="A20" s="5">
        <v>204</v>
      </c>
      <c r="B20" s="6" t="s">
        <v>33</v>
      </c>
      <c r="C20" s="7">
        <v>5000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3354.4</v>
      </c>
      <c r="I20" s="10">
        <v>150</v>
      </c>
      <c r="J20" s="10">
        <v>70</v>
      </c>
      <c r="K20" s="11"/>
      <c r="L20" s="19"/>
      <c r="M20" s="13">
        <f t="shared" si="6"/>
        <v>1425.6</v>
      </c>
      <c r="N20" s="14">
        <f t="shared" si="0"/>
        <v>4780</v>
      </c>
      <c r="O20" s="29" t="s">
        <v>118</v>
      </c>
      <c r="P20" s="33">
        <f t="shared" si="1"/>
        <v>142.56</v>
      </c>
      <c r="Q20" s="33">
        <f t="shared" si="2"/>
        <v>153.96480000000003</v>
      </c>
    </row>
    <row r="21" spans="1:17" s="55" customFormat="1" x14ac:dyDescent="0.25">
      <c r="A21" s="5">
        <v>213</v>
      </c>
      <c r="B21" s="6" t="s">
        <v>34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>
        <v>0</v>
      </c>
      <c r="J21" s="10">
        <v>0</v>
      </c>
      <c r="K21" s="11"/>
      <c r="L21" s="12"/>
      <c r="M21" s="13">
        <f t="shared" si="6"/>
        <v>645.59999999999991</v>
      </c>
      <c r="N21" s="14">
        <f t="shared" si="0"/>
        <v>4000</v>
      </c>
      <c r="O21" s="29" t="s">
        <v>50</v>
      </c>
      <c r="P21" s="33">
        <f t="shared" si="1"/>
        <v>64.559999999999988</v>
      </c>
      <c r="Q21" s="33">
        <f t="shared" si="2"/>
        <v>69.724799999999988</v>
      </c>
    </row>
    <row r="22" spans="1:17" s="55" customFormat="1" x14ac:dyDescent="0.25">
      <c r="A22" s="5">
        <v>215</v>
      </c>
      <c r="B22" s="6" t="s">
        <v>35</v>
      </c>
      <c r="C22" s="7">
        <v>5000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225</v>
      </c>
      <c r="J22" s="10">
        <v>70</v>
      </c>
      <c r="K22" s="21"/>
      <c r="L22" s="19"/>
      <c r="M22" s="13">
        <f t="shared" si="6"/>
        <v>1350.6</v>
      </c>
      <c r="N22" s="14">
        <f t="shared" si="0"/>
        <v>4705</v>
      </c>
      <c r="O22" s="29" t="s">
        <v>118</v>
      </c>
      <c r="P22" s="33">
        <f t="shared" si="1"/>
        <v>135.06</v>
      </c>
      <c r="Q22" s="33">
        <f t="shared" si="2"/>
        <v>145.8648</v>
      </c>
    </row>
    <row r="23" spans="1:17" s="55" customFormat="1" x14ac:dyDescent="0.25">
      <c r="A23" s="5">
        <v>218</v>
      </c>
      <c r="B23" s="6" t="s">
        <v>36</v>
      </c>
      <c r="C23" s="7">
        <v>3500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3354.2</v>
      </c>
      <c r="I23" s="10">
        <v>0</v>
      </c>
      <c r="J23" s="10">
        <v>0</v>
      </c>
      <c r="K23" s="12"/>
      <c r="L23" s="12"/>
      <c r="M23" s="13">
        <f t="shared" si="6"/>
        <v>145.80000000000018</v>
      </c>
      <c r="N23" s="14">
        <f t="shared" si="0"/>
        <v>3500</v>
      </c>
      <c r="O23" s="29" t="s">
        <v>49</v>
      </c>
      <c r="P23" s="33">
        <f t="shared" si="1"/>
        <v>14.58000000000002</v>
      </c>
      <c r="Q23" s="33">
        <f t="shared" si="2"/>
        <v>15.746400000000023</v>
      </c>
    </row>
    <row r="24" spans="1:17" s="55" customFormat="1" x14ac:dyDescent="0.25">
      <c r="A24" s="36">
        <v>220</v>
      </c>
      <c r="B24" s="6" t="s">
        <v>37</v>
      </c>
      <c r="C24" s="7">
        <v>4000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2744</v>
      </c>
      <c r="I24" s="10">
        <v>150</v>
      </c>
      <c r="J24" s="10">
        <v>70</v>
      </c>
      <c r="K24" s="16">
        <v>610.33000000000004</v>
      </c>
      <c r="L24" s="12"/>
      <c r="M24" s="22">
        <f>C24-H24-I24+L24-K24-J24</f>
        <v>425.66999999999996</v>
      </c>
      <c r="N24" s="14">
        <f t="shared" si="0"/>
        <v>3169.67</v>
      </c>
      <c r="O24" s="36">
        <v>0.03</v>
      </c>
      <c r="P24" s="33">
        <f t="shared" si="1"/>
        <v>42.567</v>
      </c>
      <c r="Q24" s="33">
        <f t="shared" si="2"/>
        <v>45.972360000000002</v>
      </c>
    </row>
    <row r="25" spans="1:17" s="55" customFormat="1" x14ac:dyDescent="0.25">
      <c r="A25" s="5">
        <v>221</v>
      </c>
      <c r="B25" s="6" t="s">
        <v>38</v>
      </c>
      <c r="C25" s="7">
        <v>5000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7">
        <v>3354.4</v>
      </c>
      <c r="I25" s="10">
        <v>375</v>
      </c>
      <c r="J25" s="10">
        <v>0</v>
      </c>
      <c r="K25" s="21"/>
      <c r="L25" s="12"/>
      <c r="M25" s="13">
        <f t="shared" si="6"/>
        <v>1270.5999999999999</v>
      </c>
      <c r="N25" s="14">
        <f t="shared" si="0"/>
        <v>4625</v>
      </c>
      <c r="O25" s="29">
        <v>0.03</v>
      </c>
      <c r="P25" s="33">
        <f t="shared" si="1"/>
        <v>127.06</v>
      </c>
      <c r="Q25" s="33">
        <f t="shared" si="2"/>
        <v>137.22480000000002</v>
      </c>
    </row>
    <row r="26" spans="1:17" s="55" customFormat="1" x14ac:dyDescent="0.25">
      <c r="A26" s="5">
        <v>222</v>
      </c>
      <c r="B26" s="6" t="s">
        <v>39</v>
      </c>
      <c r="C26" s="7">
        <v>8000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2681.2</v>
      </c>
      <c r="I26" s="10">
        <v>375</v>
      </c>
      <c r="J26" s="10">
        <v>140</v>
      </c>
      <c r="K26" s="16">
        <v>1538.46</v>
      </c>
      <c r="L26" s="19"/>
      <c r="M26" s="13">
        <f t="shared" si="6"/>
        <v>3265.34</v>
      </c>
      <c r="N26" s="14">
        <f t="shared" si="0"/>
        <v>5946.54</v>
      </c>
      <c r="O26" s="29" t="s">
        <v>118</v>
      </c>
      <c r="P26" s="33">
        <f t="shared" si="1"/>
        <v>326.53400000000005</v>
      </c>
      <c r="Q26" s="33">
        <f t="shared" si="2"/>
        <v>352.65672000000006</v>
      </c>
    </row>
    <row r="27" spans="1:17" s="55" customFormat="1" x14ac:dyDescent="0.25">
      <c r="A27" s="5">
        <v>227</v>
      </c>
      <c r="B27" s="6" t="s">
        <v>41</v>
      </c>
      <c r="C27" s="7">
        <v>6000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3354.4</v>
      </c>
      <c r="I27" s="10">
        <v>375</v>
      </c>
      <c r="J27" s="10">
        <v>140</v>
      </c>
      <c r="K27" s="21"/>
      <c r="L27" s="12"/>
      <c r="M27" s="13">
        <f t="shared" si="6"/>
        <v>2130.6</v>
      </c>
      <c r="N27" s="14">
        <f t="shared" si="0"/>
        <v>5485</v>
      </c>
      <c r="O27" s="29" t="s">
        <v>118</v>
      </c>
      <c r="P27" s="33">
        <f t="shared" si="1"/>
        <v>213.06</v>
      </c>
      <c r="Q27" s="33">
        <f t="shared" si="2"/>
        <v>230.10480000000001</v>
      </c>
    </row>
    <row r="28" spans="1:17" s="55" customFormat="1" x14ac:dyDescent="0.25">
      <c r="A28" s="5">
        <v>233</v>
      </c>
      <c r="B28" s="6" t="s">
        <v>42</v>
      </c>
      <c r="C28" s="7">
        <v>6250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3354.2</v>
      </c>
      <c r="I28" s="10">
        <v>375</v>
      </c>
      <c r="J28" s="10">
        <v>70</v>
      </c>
      <c r="K28" s="21"/>
      <c r="L28" s="19"/>
      <c r="M28" s="13">
        <f t="shared" si="6"/>
        <v>2450.8000000000002</v>
      </c>
      <c r="N28" s="14">
        <f t="shared" si="0"/>
        <v>5805</v>
      </c>
      <c r="O28" s="31" t="s">
        <v>118</v>
      </c>
      <c r="P28" s="33">
        <f t="shared" si="1"/>
        <v>245.08000000000004</v>
      </c>
      <c r="Q28" s="33">
        <f t="shared" si="2"/>
        <v>264.68640000000005</v>
      </c>
    </row>
    <row r="29" spans="1:17" s="55" customFormat="1" x14ac:dyDescent="0.25">
      <c r="A29" s="5">
        <v>244</v>
      </c>
      <c r="B29" s="6" t="s">
        <v>44</v>
      </c>
      <c r="C29" s="7">
        <v>5000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375</v>
      </c>
      <c r="J29" s="10">
        <v>105</v>
      </c>
      <c r="K29" s="21"/>
      <c r="L29" s="12"/>
      <c r="M29" s="13">
        <f>C29-H29-I29+L29-K29-J29</f>
        <v>1165.5999999999999</v>
      </c>
      <c r="N29" s="14">
        <f t="shared" si="0"/>
        <v>4520</v>
      </c>
      <c r="O29" s="29">
        <v>0.03</v>
      </c>
      <c r="P29" s="33">
        <f t="shared" si="1"/>
        <v>116.56</v>
      </c>
      <c r="Q29" s="33">
        <f t="shared" si="2"/>
        <v>125.88480000000001</v>
      </c>
    </row>
    <row r="30" spans="1:17" s="55" customFormat="1" x14ac:dyDescent="0.25">
      <c r="A30" s="5">
        <v>245</v>
      </c>
      <c r="B30" s="6" t="s">
        <v>45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3354.2</v>
      </c>
      <c r="I30" s="10">
        <v>0</v>
      </c>
      <c r="J30" s="10">
        <v>0</v>
      </c>
      <c r="K30" s="11"/>
      <c r="L30" s="19"/>
      <c r="M30" s="13">
        <f t="shared" si="6"/>
        <v>1645.8000000000002</v>
      </c>
      <c r="N30" s="14">
        <f>H30+M30</f>
        <v>5000</v>
      </c>
      <c r="O30" s="34" t="s">
        <v>47</v>
      </c>
      <c r="P30" s="33">
        <f t="shared" si="1"/>
        <v>164.58000000000004</v>
      </c>
      <c r="Q30" s="33">
        <f t="shared" si="2"/>
        <v>177.74640000000005</v>
      </c>
    </row>
    <row r="31" spans="1:17" s="55" customFormat="1" x14ac:dyDescent="0.25">
      <c r="A31" s="5">
        <v>252</v>
      </c>
      <c r="B31" s="6" t="s">
        <v>53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3354.2</v>
      </c>
      <c r="I31" s="10">
        <v>150</v>
      </c>
      <c r="J31" s="10">
        <v>70</v>
      </c>
      <c r="K31" s="21"/>
      <c r="L31" s="12"/>
      <c r="M31" s="22">
        <f>C31-H31-I31+L31-K31-J31</f>
        <v>1425.8000000000002</v>
      </c>
      <c r="N31" s="14">
        <f t="shared" si="0"/>
        <v>4780</v>
      </c>
      <c r="O31" s="5">
        <v>0.03</v>
      </c>
      <c r="P31" s="33">
        <f t="shared" si="1"/>
        <v>142.58000000000001</v>
      </c>
      <c r="Q31" s="33">
        <f t="shared" si="2"/>
        <v>153.98640000000003</v>
      </c>
    </row>
    <row r="32" spans="1:17" s="55" customFormat="1" x14ac:dyDescent="0.25">
      <c r="A32" s="5">
        <v>260</v>
      </c>
      <c r="B32" s="6" t="s">
        <v>54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75</v>
      </c>
      <c r="J32" s="10">
        <v>0</v>
      </c>
      <c r="K32" s="11"/>
      <c r="L32" s="19"/>
      <c r="M32" s="13">
        <f t="shared" si="6"/>
        <v>1570.6</v>
      </c>
      <c r="N32" s="14">
        <f t="shared" si="0"/>
        <v>4925</v>
      </c>
      <c r="O32" s="5" t="s">
        <v>48</v>
      </c>
      <c r="P32" s="33">
        <f t="shared" si="1"/>
        <v>157.06</v>
      </c>
      <c r="Q32" s="33">
        <f t="shared" si="2"/>
        <v>169.62480000000002</v>
      </c>
    </row>
    <row r="33" spans="1:17" s="55" customFormat="1" x14ac:dyDescent="0.25">
      <c r="A33" s="5">
        <v>261</v>
      </c>
      <c r="B33" s="6" t="s">
        <v>55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2385.6</v>
      </c>
      <c r="I33" s="10">
        <v>375</v>
      </c>
      <c r="J33" s="10">
        <v>70</v>
      </c>
      <c r="K33" s="16">
        <v>898.62</v>
      </c>
      <c r="L33" s="19"/>
      <c r="M33" s="13">
        <f t="shared" si="6"/>
        <v>270.78000000000009</v>
      </c>
      <c r="N33" s="14">
        <f t="shared" si="0"/>
        <v>2656.38</v>
      </c>
      <c r="O33" s="5">
        <v>0.03</v>
      </c>
      <c r="P33" s="33">
        <f t="shared" si="1"/>
        <v>27.07800000000001</v>
      </c>
      <c r="Q33" s="33">
        <f t="shared" si="2"/>
        <v>29.244240000000012</v>
      </c>
    </row>
    <row r="34" spans="1:17" s="55" customFormat="1" x14ac:dyDescent="0.25">
      <c r="A34" s="5">
        <v>267</v>
      </c>
      <c r="B34" s="6" t="s">
        <v>56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2207.4</v>
      </c>
      <c r="I34" s="10">
        <v>375</v>
      </c>
      <c r="J34" s="10">
        <v>35</v>
      </c>
      <c r="K34" s="16">
        <f>428.85+314.29+245.49+245.49</f>
        <v>1234.1200000000001</v>
      </c>
      <c r="L34" s="12"/>
      <c r="M34" s="13">
        <f t="shared" si="6"/>
        <v>1148.4799999999998</v>
      </c>
      <c r="N34" s="14">
        <f t="shared" si="0"/>
        <v>3355.88</v>
      </c>
      <c r="O34" s="5" t="s">
        <v>47</v>
      </c>
      <c r="P34" s="33">
        <f t="shared" si="1"/>
        <v>114.84799999999998</v>
      </c>
      <c r="Q34" s="33">
        <f t="shared" si="2"/>
        <v>124.03583999999999</v>
      </c>
    </row>
    <row r="35" spans="1:17" s="55" customFormat="1" x14ac:dyDescent="0.25">
      <c r="A35" s="5">
        <v>269</v>
      </c>
      <c r="B35" s="6" t="s">
        <v>58</v>
      </c>
      <c r="C35" s="7">
        <v>7000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3432.2</v>
      </c>
      <c r="I35" s="10">
        <v>300</v>
      </c>
      <c r="J35" s="10">
        <v>105</v>
      </c>
      <c r="K35" s="21">
        <v>209.94</v>
      </c>
      <c r="L35" s="19">
        <v>500</v>
      </c>
      <c r="M35" s="13">
        <f t="shared" si="6"/>
        <v>3452.86</v>
      </c>
      <c r="N35" s="14">
        <f>H35+M35</f>
        <v>6885.0599999999995</v>
      </c>
      <c r="O35" s="5" t="s">
        <v>118</v>
      </c>
      <c r="P35" s="33">
        <f t="shared" si="1"/>
        <v>345.28600000000006</v>
      </c>
      <c r="Q35" s="33">
        <f t="shared" si="2"/>
        <v>372.90888000000007</v>
      </c>
    </row>
    <row r="36" spans="1:17" s="55" customFormat="1" x14ac:dyDescent="0.25">
      <c r="A36" s="5">
        <v>271</v>
      </c>
      <c r="B36" s="6" t="s">
        <v>59</v>
      </c>
      <c r="C36" s="7">
        <v>3500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3055.2</v>
      </c>
      <c r="I36" s="10">
        <v>375</v>
      </c>
      <c r="J36" s="10">
        <v>70</v>
      </c>
      <c r="K36" s="21"/>
      <c r="L36" s="19"/>
      <c r="M36" s="22">
        <f>C36-H36-I36+L36-K36-J36+0.2</f>
        <v>1.819100425848319E-13</v>
      </c>
      <c r="N36" s="14">
        <f t="shared" si="0"/>
        <v>3055.2</v>
      </c>
      <c r="O36" s="5">
        <v>0.03</v>
      </c>
      <c r="P36" s="33">
        <f t="shared" si="1"/>
        <v>1.8191004258483192E-14</v>
      </c>
      <c r="Q36" s="33">
        <f t="shared" si="2"/>
        <v>1.9646284599161848E-14</v>
      </c>
    </row>
    <row r="37" spans="1:17" s="55" customFormat="1" x14ac:dyDescent="0.25">
      <c r="A37" s="5">
        <v>275</v>
      </c>
      <c r="B37" s="6" t="s">
        <v>60</v>
      </c>
      <c r="C37" s="7">
        <v>3375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3081.2</v>
      </c>
      <c r="I37" s="10">
        <v>0</v>
      </c>
      <c r="J37" s="10">
        <v>0</v>
      </c>
      <c r="K37" s="21">
        <v>293.92</v>
      </c>
      <c r="L37" s="19"/>
      <c r="M37" s="98">
        <f>C37-H37-I37+L37-K37-J37+0.12</f>
        <v>1.659783421814609E-13</v>
      </c>
      <c r="N37" s="14">
        <f>H37+M37</f>
        <v>3081.2</v>
      </c>
      <c r="O37" s="5">
        <v>0.03</v>
      </c>
      <c r="P37" s="33">
        <f>+M37*0.1</f>
        <v>1.659783421814609E-14</v>
      </c>
      <c r="Q37" s="33">
        <f>+P37*1.08</f>
        <v>1.7925660955597778E-14</v>
      </c>
    </row>
    <row r="38" spans="1:17" s="55" customFormat="1" x14ac:dyDescent="0.25">
      <c r="A38" s="5">
        <v>276</v>
      </c>
      <c r="B38" s="6" t="s">
        <v>61</v>
      </c>
      <c r="C38" s="7">
        <v>5000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3354.4</v>
      </c>
      <c r="I38" s="10">
        <v>150</v>
      </c>
      <c r="J38" s="10">
        <v>140</v>
      </c>
      <c r="K38" s="11"/>
      <c r="L38" s="19"/>
      <c r="M38" s="13">
        <f t="shared" si="6"/>
        <v>1355.6</v>
      </c>
      <c r="N38" s="14">
        <f t="shared" si="0"/>
        <v>4710</v>
      </c>
      <c r="O38" s="5">
        <v>0.03</v>
      </c>
      <c r="P38" s="33">
        <f t="shared" si="1"/>
        <v>135.56</v>
      </c>
      <c r="Q38" s="33">
        <f t="shared" si="2"/>
        <v>146.40480000000002</v>
      </c>
    </row>
    <row r="39" spans="1:17" s="55" customFormat="1" x14ac:dyDescent="0.25">
      <c r="A39" s="5">
        <v>279</v>
      </c>
      <c r="B39" s="6" t="s">
        <v>63</v>
      </c>
      <c r="C39" s="7">
        <v>4500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3354.4</v>
      </c>
      <c r="I39" s="10">
        <v>150</v>
      </c>
      <c r="J39" s="10">
        <v>35</v>
      </c>
      <c r="K39" s="21"/>
      <c r="L39" s="19"/>
      <c r="M39" s="22">
        <f>C39-H39-I39+L39-K39-J39</f>
        <v>960.59999999999991</v>
      </c>
      <c r="N39" s="14">
        <f t="shared" si="0"/>
        <v>4315</v>
      </c>
      <c r="O39" s="5" t="s">
        <v>118</v>
      </c>
      <c r="P39" s="33">
        <f t="shared" si="1"/>
        <v>96.06</v>
      </c>
      <c r="Q39" s="33">
        <f t="shared" si="2"/>
        <v>103.74480000000001</v>
      </c>
    </row>
    <row r="40" spans="1:17" s="55" customFormat="1" x14ac:dyDescent="0.25">
      <c r="A40" s="5">
        <v>280</v>
      </c>
      <c r="B40" s="6" t="s">
        <v>64</v>
      </c>
      <c r="C40" s="7">
        <v>5000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3354.4</v>
      </c>
      <c r="I40" s="10">
        <v>0</v>
      </c>
      <c r="J40" s="10">
        <v>0</v>
      </c>
      <c r="K40" s="11"/>
      <c r="L40" s="19"/>
      <c r="M40" s="13">
        <f t="shared" si="6"/>
        <v>1645.6</v>
      </c>
      <c r="N40" s="14">
        <f t="shared" si="0"/>
        <v>5000</v>
      </c>
      <c r="O40" s="5" t="s">
        <v>119</v>
      </c>
      <c r="P40" s="33">
        <f t="shared" si="1"/>
        <v>164.56</v>
      </c>
      <c r="Q40" s="33">
        <f t="shared" si="2"/>
        <v>177.72480000000002</v>
      </c>
    </row>
    <row r="41" spans="1:17" s="55" customFormat="1" x14ac:dyDescent="0.25">
      <c r="A41" s="5">
        <v>281</v>
      </c>
      <c r="B41" s="6" t="s">
        <v>65</v>
      </c>
      <c r="C41" s="7">
        <v>8750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3354.4</v>
      </c>
      <c r="I41" s="10">
        <v>0</v>
      </c>
      <c r="J41" s="10">
        <v>0</v>
      </c>
      <c r="K41" s="11"/>
      <c r="L41" s="19"/>
      <c r="M41" s="13">
        <f t="shared" si="6"/>
        <v>5395.6</v>
      </c>
      <c r="N41" s="14">
        <f t="shared" si="0"/>
        <v>8750</v>
      </c>
      <c r="O41" s="5">
        <v>0.03</v>
      </c>
      <c r="P41" s="33">
        <f t="shared" si="1"/>
        <v>539.56000000000006</v>
      </c>
      <c r="Q41" s="33">
        <f t="shared" si="2"/>
        <v>582.72480000000007</v>
      </c>
    </row>
    <row r="42" spans="1:17" s="55" customFormat="1" x14ac:dyDescent="0.25">
      <c r="A42" s="5">
        <v>283</v>
      </c>
      <c r="B42" s="6" t="s">
        <v>66</v>
      </c>
      <c r="C42" s="7">
        <v>5000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3238.8</v>
      </c>
      <c r="I42" s="10">
        <v>225</v>
      </c>
      <c r="J42" s="10">
        <v>35</v>
      </c>
      <c r="K42" s="21">
        <v>314.29000000000002</v>
      </c>
      <c r="L42" s="12"/>
      <c r="M42" s="13">
        <f t="shared" si="6"/>
        <v>1186.9099999999999</v>
      </c>
      <c r="N42" s="14">
        <f t="shared" si="0"/>
        <v>4425.71</v>
      </c>
      <c r="O42" s="5">
        <v>0.03</v>
      </c>
      <c r="P42" s="33">
        <f t="shared" si="1"/>
        <v>118.69099999999999</v>
      </c>
      <c r="Q42" s="33">
        <f t="shared" si="2"/>
        <v>128.18627999999998</v>
      </c>
    </row>
    <row r="43" spans="1:17" s="55" customFormat="1" x14ac:dyDescent="0.25">
      <c r="A43" s="5">
        <v>284</v>
      </c>
      <c r="B43" s="6" t="s">
        <v>67</v>
      </c>
      <c r="C43" s="7">
        <v>4000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0</v>
      </c>
      <c r="J43" s="10">
        <v>0</v>
      </c>
      <c r="K43" s="11"/>
      <c r="L43" s="19"/>
      <c r="M43" s="13">
        <f t="shared" si="6"/>
        <v>645.59999999999991</v>
      </c>
      <c r="N43" s="14">
        <f t="shared" si="0"/>
        <v>4000</v>
      </c>
      <c r="O43" s="5" t="s">
        <v>48</v>
      </c>
      <c r="P43" s="33">
        <f t="shared" si="1"/>
        <v>64.559999999999988</v>
      </c>
      <c r="Q43" s="33">
        <f t="shared" si="2"/>
        <v>69.724799999999988</v>
      </c>
    </row>
    <row r="44" spans="1:17" s="55" customFormat="1" x14ac:dyDescent="0.25">
      <c r="A44" s="5">
        <v>285</v>
      </c>
      <c r="B44" s="6" t="s">
        <v>68</v>
      </c>
      <c r="C44" s="7">
        <v>4000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2879</v>
      </c>
      <c r="I44" s="10">
        <v>0</v>
      </c>
      <c r="J44" s="10">
        <v>0</v>
      </c>
      <c r="K44" s="21">
        <v>587.84</v>
      </c>
      <c r="L44" s="19"/>
      <c r="M44" s="13">
        <f>C44-H44-I44+L44-K44-J44</f>
        <v>533.16</v>
      </c>
      <c r="N44" s="14">
        <f t="shared" si="0"/>
        <v>3412.16</v>
      </c>
      <c r="O44" s="5" t="s">
        <v>48</v>
      </c>
      <c r="P44" s="33">
        <f t="shared" si="1"/>
        <v>53.316000000000003</v>
      </c>
      <c r="Q44" s="33">
        <f t="shared" si="2"/>
        <v>57.581280000000007</v>
      </c>
    </row>
    <row r="45" spans="1:17" s="55" customFormat="1" x14ac:dyDescent="0.25">
      <c r="A45" s="5">
        <v>286</v>
      </c>
      <c r="B45" s="6" t="s">
        <v>69</v>
      </c>
      <c r="C45" s="7">
        <v>4000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3354.4</v>
      </c>
      <c r="I45" s="10">
        <v>375</v>
      </c>
      <c r="J45" s="10">
        <v>0</v>
      </c>
      <c r="K45" s="11"/>
      <c r="L45" s="19"/>
      <c r="M45" s="13">
        <f t="shared" si="6"/>
        <v>270.59999999999991</v>
      </c>
      <c r="N45" s="14">
        <f t="shared" si="0"/>
        <v>3625</v>
      </c>
      <c r="O45" s="5" t="s">
        <v>118</v>
      </c>
      <c r="P45" s="33">
        <f t="shared" si="1"/>
        <v>27.059999999999992</v>
      </c>
      <c r="Q45" s="33">
        <f t="shared" si="2"/>
        <v>29.224799999999991</v>
      </c>
    </row>
    <row r="46" spans="1:17" s="55" customFormat="1" x14ac:dyDescent="0.25">
      <c r="A46" s="5">
        <v>287</v>
      </c>
      <c r="B46" s="6" t="s">
        <v>72</v>
      </c>
      <c r="C46" s="7">
        <v>5000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3354.2</v>
      </c>
      <c r="I46" s="10">
        <v>300</v>
      </c>
      <c r="J46" s="10">
        <v>105</v>
      </c>
      <c r="K46" s="21"/>
      <c r="L46" s="19"/>
      <c r="M46" s="13">
        <f>C46-H46-I46+L46-K46-J46</f>
        <v>1240.8000000000002</v>
      </c>
      <c r="N46" s="14">
        <f t="shared" si="0"/>
        <v>4595</v>
      </c>
      <c r="O46" s="5" t="s">
        <v>118</v>
      </c>
      <c r="P46" s="33">
        <f t="shared" si="1"/>
        <v>124.08000000000003</v>
      </c>
      <c r="Q46" s="33">
        <f t="shared" si="2"/>
        <v>134.00640000000004</v>
      </c>
    </row>
    <row r="47" spans="1:17" s="55" customFormat="1" x14ac:dyDescent="0.25">
      <c r="A47" s="5">
        <v>288</v>
      </c>
      <c r="B47" s="6" t="s">
        <v>73</v>
      </c>
      <c r="C47" s="7">
        <v>3500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3354.2</v>
      </c>
      <c r="I47" s="10">
        <v>0</v>
      </c>
      <c r="J47" s="10">
        <v>0</v>
      </c>
      <c r="K47" s="11"/>
      <c r="L47" s="19"/>
      <c r="M47" s="13">
        <f>C47-H47-I47+L47-K47-J47</f>
        <v>145.80000000000018</v>
      </c>
      <c r="N47" s="14">
        <f t="shared" si="0"/>
        <v>3500</v>
      </c>
      <c r="O47" s="5">
        <v>0.03</v>
      </c>
      <c r="P47" s="33">
        <f t="shared" si="1"/>
        <v>14.58000000000002</v>
      </c>
      <c r="Q47" s="33">
        <f t="shared" si="2"/>
        <v>15.746400000000023</v>
      </c>
    </row>
    <row r="48" spans="1:17" x14ac:dyDescent="0.25">
      <c r="A48" s="5">
        <v>289</v>
      </c>
      <c r="B48" s="6" t="s">
        <v>74</v>
      </c>
      <c r="C48" s="7">
        <v>3500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3354.2</v>
      </c>
      <c r="I48" s="10">
        <v>0</v>
      </c>
      <c r="J48" s="10">
        <v>0</v>
      </c>
      <c r="K48" s="11"/>
      <c r="L48" s="19">
        <f>1043.99+1043.99+4500</f>
        <v>6587.98</v>
      </c>
      <c r="M48" s="13">
        <f t="shared" si="6"/>
        <v>6733.78</v>
      </c>
      <c r="N48" s="14">
        <f t="shared" si="0"/>
        <v>10087.98</v>
      </c>
      <c r="O48" s="5">
        <v>0.03</v>
      </c>
      <c r="P48" s="33">
        <f t="shared" si="1"/>
        <v>673.37800000000004</v>
      </c>
      <c r="Q48" s="33">
        <f t="shared" si="2"/>
        <v>727.24824000000012</v>
      </c>
    </row>
    <row r="49" spans="1:18" x14ac:dyDescent="0.25">
      <c r="A49" s="5">
        <v>291</v>
      </c>
      <c r="B49" s="6" t="s">
        <v>78</v>
      </c>
      <c r="C49" s="7">
        <v>4250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>
        <v>75</v>
      </c>
      <c r="J49" s="10">
        <v>70</v>
      </c>
      <c r="K49" s="11"/>
      <c r="L49" s="19"/>
      <c r="M49" s="13">
        <f t="shared" si="6"/>
        <v>750.80000000000018</v>
      </c>
      <c r="N49" s="14">
        <f t="shared" si="0"/>
        <v>4105</v>
      </c>
      <c r="O49" s="5">
        <v>0.03</v>
      </c>
      <c r="P49" s="33">
        <f t="shared" si="1"/>
        <v>75.080000000000027</v>
      </c>
      <c r="Q49" s="33">
        <f t="shared" si="2"/>
        <v>81.08640000000004</v>
      </c>
    </row>
    <row r="50" spans="1:18" x14ac:dyDescent="0.25">
      <c r="A50" s="5">
        <v>293</v>
      </c>
      <c r="B50" s="6" t="s">
        <v>89</v>
      </c>
      <c r="C50" s="7">
        <v>4000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3238.6</v>
      </c>
      <c r="I50" s="10">
        <v>375</v>
      </c>
      <c r="J50" s="10">
        <v>35</v>
      </c>
      <c r="K50" s="21">
        <v>251.43</v>
      </c>
      <c r="L50" s="12"/>
      <c r="M50" s="13">
        <f t="shared" si="6"/>
        <v>99.970000000000084</v>
      </c>
      <c r="N50" s="14">
        <f t="shared" si="0"/>
        <v>3338.57</v>
      </c>
      <c r="O50" s="5">
        <v>0.03</v>
      </c>
      <c r="P50" s="33">
        <f t="shared" si="1"/>
        <v>9.9970000000000088</v>
      </c>
      <c r="Q50" s="33">
        <f t="shared" si="2"/>
        <v>10.79676000000001</v>
      </c>
    </row>
    <row r="51" spans="1:18" x14ac:dyDescent="0.25">
      <c r="A51" s="5">
        <v>294</v>
      </c>
      <c r="B51" s="6" t="s">
        <v>91</v>
      </c>
      <c r="C51" s="7">
        <v>4000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3354.2</v>
      </c>
      <c r="I51" s="10">
        <v>375</v>
      </c>
      <c r="J51" s="10">
        <v>70</v>
      </c>
      <c r="K51" s="11"/>
      <c r="L51" s="12"/>
      <c r="M51" s="22">
        <f t="shared" si="6"/>
        <v>200.80000000000018</v>
      </c>
      <c r="N51" s="14">
        <f t="shared" si="0"/>
        <v>3555</v>
      </c>
      <c r="O51" s="5">
        <v>0.03</v>
      </c>
      <c r="P51" s="33">
        <f t="shared" si="1"/>
        <v>20.08000000000002</v>
      </c>
      <c r="Q51" s="33">
        <f t="shared" si="2"/>
        <v>21.686400000000024</v>
      </c>
    </row>
    <row r="52" spans="1:18" x14ac:dyDescent="0.25">
      <c r="A52" s="5">
        <v>295</v>
      </c>
      <c r="B52" s="6" t="s">
        <v>104</v>
      </c>
      <c r="C52" s="7">
        <v>5500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3120.4</v>
      </c>
      <c r="I52" s="10">
        <v>375</v>
      </c>
      <c r="J52" s="10">
        <v>105</v>
      </c>
      <c r="K52" s="21">
        <v>293.92</v>
      </c>
      <c r="L52" s="12"/>
      <c r="M52" s="22">
        <f t="shared" si="6"/>
        <v>1605.6799999999998</v>
      </c>
      <c r="N52" s="14">
        <f t="shared" si="0"/>
        <v>4726.08</v>
      </c>
      <c r="O52" s="5" t="s">
        <v>118</v>
      </c>
      <c r="P52" s="33">
        <f t="shared" si="1"/>
        <v>160.56799999999998</v>
      </c>
      <c r="Q52" s="33">
        <f t="shared" si="2"/>
        <v>173.41343999999998</v>
      </c>
    </row>
    <row r="53" spans="1:18" x14ac:dyDescent="0.25">
      <c r="A53" s="5">
        <v>298</v>
      </c>
      <c r="B53" s="6" t="s">
        <v>115</v>
      </c>
      <c r="C53" s="7">
        <v>5000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1846</v>
      </c>
      <c r="I53" s="10">
        <v>225</v>
      </c>
      <c r="J53" s="10">
        <v>105</v>
      </c>
      <c r="K53" s="16">
        <v>1438.36</v>
      </c>
      <c r="L53" s="12"/>
      <c r="M53" s="22">
        <f t="shared" si="6"/>
        <v>1385.64</v>
      </c>
      <c r="N53" s="14">
        <f t="shared" si="0"/>
        <v>3231.6400000000003</v>
      </c>
      <c r="O53" s="5">
        <v>0.03</v>
      </c>
      <c r="P53" s="33">
        <f t="shared" si="1"/>
        <v>138.56400000000002</v>
      </c>
      <c r="Q53" s="33">
        <f t="shared" si="2"/>
        <v>149.64912000000004</v>
      </c>
    </row>
    <row r="54" spans="1:18" x14ac:dyDescent="0.25">
      <c r="A54" s="5">
        <v>299</v>
      </c>
      <c r="B54" s="6" t="s">
        <v>116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2851.6</v>
      </c>
      <c r="I54" s="10">
        <v>375</v>
      </c>
      <c r="J54" s="10">
        <v>105</v>
      </c>
      <c r="K54" s="11">
        <v>668.6</v>
      </c>
      <c r="L54" s="12"/>
      <c r="M54" s="22">
        <f>C54-H54-I54+L54-K54-J54+0.2</f>
        <v>6.8223204863215869E-14</v>
      </c>
      <c r="N54" s="14">
        <f t="shared" si="0"/>
        <v>2851.6</v>
      </c>
      <c r="O54" s="5">
        <v>0.03</v>
      </c>
      <c r="P54" s="33">
        <f t="shared" si="1"/>
        <v>6.8223204863215873E-15</v>
      </c>
      <c r="Q54" s="33">
        <f t="shared" si="2"/>
        <v>7.3681061252273154E-15</v>
      </c>
    </row>
    <row r="55" spans="1:18" x14ac:dyDescent="0.25">
      <c r="A55" s="5">
        <v>300</v>
      </c>
      <c r="B55" s="6" t="s">
        <v>121</v>
      </c>
      <c r="C55" s="7">
        <v>6250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0</v>
      </c>
      <c r="J55" s="10">
        <v>0</v>
      </c>
      <c r="K55" s="11"/>
      <c r="L55" s="12"/>
      <c r="M55" s="22">
        <f t="shared" si="6"/>
        <v>2895.6</v>
      </c>
      <c r="N55" s="14">
        <f t="shared" si="0"/>
        <v>6250</v>
      </c>
      <c r="O55" s="5">
        <v>0.03</v>
      </c>
      <c r="P55" s="33">
        <f t="shared" si="1"/>
        <v>289.56</v>
      </c>
      <c r="Q55" s="33">
        <f t="shared" si="2"/>
        <v>312.72480000000002</v>
      </c>
    </row>
    <row r="56" spans="1:18" x14ac:dyDescent="0.25">
      <c r="A56" s="5">
        <v>301</v>
      </c>
      <c r="B56" s="6" t="s">
        <v>124</v>
      </c>
      <c r="C56" s="7">
        <v>5000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3354.2</v>
      </c>
      <c r="I56" s="10">
        <v>0</v>
      </c>
      <c r="J56" s="10">
        <v>0</v>
      </c>
      <c r="K56" s="11"/>
      <c r="L56" s="12"/>
      <c r="M56" s="22">
        <f t="shared" si="6"/>
        <v>1645.8000000000002</v>
      </c>
      <c r="N56" s="14">
        <f t="shared" si="0"/>
        <v>5000</v>
      </c>
      <c r="O56" s="5">
        <v>0.03</v>
      </c>
      <c r="P56" s="33">
        <f t="shared" si="1"/>
        <v>164.58000000000004</v>
      </c>
      <c r="Q56" s="33">
        <f t="shared" si="2"/>
        <v>177.74640000000005</v>
      </c>
    </row>
    <row r="57" spans="1:18" x14ac:dyDescent="0.25">
      <c r="A57" s="5">
        <v>302</v>
      </c>
      <c r="B57" s="6" t="s">
        <v>128</v>
      </c>
      <c r="C57" s="7">
        <v>5000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3354.2</v>
      </c>
      <c r="I57" s="10">
        <v>225</v>
      </c>
      <c r="J57" s="10">
        <v>0</v>
      </c>
      <c r="K57" s="11"/>
      <c r="L57" s="12"/>
      <c r="M57" s="22">
        <f t="shared" si="6"/>
        <v>1420.8000000000002</v>
      </c>
      <c r="N57" s="14">
        <f t="shared" si="0"/>
        <v>4775</v>
      </c>
      <c r="O57" s="5">
        <v>0.03</v>
      </c>
      <c r="P57" s="33">
        <f t="shared" si="1"/>
        <v>142.08000000000001</v>
      </c>
      <c r="Q57" s="33">
        <f t="shared" si="2"/>
        <v>153.44640000000001</v>
      </c>
    </row>
    <row r="58" spans="1:18" x14ac:dyDescent="0.25">
      <c r="A58" s="5">
        <v>303</v>
      </c>
      <c r="B58" s="6" t="s">
        <v>129</v>
      </c>
      <c r="C58" s="7">
        <v>3500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3354.2</v>
      </c>
      <c r="I58" s="10">
        <v>0</v>
      </c>
      <c r="J58" s="10">
        <v>0</v>
      </c>
      <c r="K58" s="11"/>
      <c r="L58" s="12"/>
      <c r="M58" s="22">
        <f t="shared" si="6"/>
        <v>145.80000000000018</v>
      </c>
      <c r="N58" s="14">
        <f t="shared" si="0"/>
        <v>3500</v>
      </c>
      <c r="O58" s="5">
        <v>0.03</v>
      </c>
      <c r="P58" s="33">
        <f t="shared" si="1"/>
        <v>14.58000000000002</v>
      </c>
      <c r="Q58" s="33">
        <f t="shared" si="2"/>
        <v>15.746400000000023</v>
      </c>
    </row>
    <row r="59" spans="1:18" x14ac:dyDescent="0.25">
      <c r="A59" s="5">
        <v>304</v>
      </c>
      <c r="B59" s="6" t="s">
        <v>131</v>
      </c>
      <c r="C59" s="7">
        <v>4500</v>
      </c>
      <c r="D59" s="7">
        <v>419.88</v>
      </c>
      <c r="E59" s="8">
        <f t="shared" si="3"/>
        <v>2519.2799999999997</v>
      </c>
      <c r="F59" s="8">
        <f t="shared" si="4"/>
        <v>419.88</v>
      </c>
      <c r="G59" s="9">
        <f t="shared" si="5"/>
        <v>2939.16</v>
      </c>
      <c r="H59" s="37">
        <v>3354.2</v>
      </c>
      <c r="I59" s="10">
        <v>225</v>
      </c>
      <c r="J59" s="10">
        <v>105</v>
      </c>
      <c r="K59" s="11"/>
      <c r="L59" s="12"/>
      <c r="M59" s="22">
        <f t="shared" si="6"/>
        <v>815.80000000000018</v>
      </c>
      <c r="N59" s="14">
        <f t="shared" si="0"/>
        <v>4170</v>
      </c>
      <c r="O59" s="5">
        <v>0.03</v>
      </c>
      <c r="P59" s="33">
        <f t="shared" si="1"/>
        <v>81.580000000000027</v>
      </c>
      <c r="Q59" s="33">
        <f t="shared" si="2"/>
        <v>88.106400000000036</v>
      </c>
    </row>
    <row r="60" spans="1:18" x14ac:dyDescent="0.25">
      <c r="A60" s="5">
        <v>305</v>
      </c>
      <c r="B60" s="6" t="s">
        <v>132</v>
      </c>
      <c r="C60" s="7">
        <v>4000</v>
      </c>
      <c r="D60" s="7">
        <v>419.88</v>
      </c>
      <c r="E60" s="8">
        <f t="shared" si="3"/>
        <v>2519.2799999999997</v>
      </c>
      <c r="F60" s="8">
        <f t="shared" si="4"/>
        <v>419.88</v>
      </c>
      <c r="G60" s="9">
        <f t="shared" si="5"/>
        <v>2939.16</v>
      </c>
      <c r="H60" s="37">
        <f>C60-I60</f>
        <v>3625</v>
      </c>
      <c r="I60" s="10">
        <v>375</v>
      </c>
      <c r="J60" s="10">
        <v>0</v>
      </c>
      <c r="K60" s="11"/>
      <c r="L60" s="12"/>
      <c r="M60" s="22"/>
      <c r="N60" s="14">
        <f t="shared" si="0"/>
        <v>3625</v>
      </c>
      <c r="O60" s="5">
        <v>0.03</v>
      </c>
      <c r="P60" s="33">
        <f t="shared" si="1"/>
        <v>0</v>
      </c>
      <c r="Q60" s="33">
        <f t="shared" si="2"/>
        <v>0</v>
      </c>
    </row>
    <row r="61" spans="1:18" ht="16.149999999999999" customHeight="1" thickBot="1" x14ac:dyDescent="0.3"/>
    <row r="62" spans="1:18" ht="18" thickBot="1" x14ac:dyDescent="0.35">
      <c r="A62" s="23"/>
      <c r="B62" s="24"/>
      <c r="C62" s="25">
        <f>SUM(C4:C61)</f>
        <v>284875</v>
      </c>
      <c r="D62" s="25">
        <f t="shared" ref="D62:K62" si="7">SUM(D4:D61)</f>
        <v>23933.160000000003</v>
      </c>
      <c r="E62" s="25">
        <f t="shared" si="7"/>
        <v>141079.67999999996</v>
      </c>
      <c r="F62" s="25">
        <f t="shared" si="7"/>
        <v>23513.280000000002</v>
      </c>
      <c r="G62" s="25">
        <f t="shared" si="7"/>
        <v>164592.96000000014</v>
      </c>
      <c r="H62" s="25">
        <f>SUM(H4:H61)</f>
        <v>178689.80000000002</v>
      </c>
      <c r="I62" s="26">
        <f t="shared" si="7"/>
        <v>9975</v>
      </c>
      <c r="J62" s="26">
        <f t="shared" si="7"/>
        <v>2870</v>
      </c>
      <c r="K62" s="26">
        <f t="shared" si="7"/>
        <v>13103.500000000004</v>
      </c>
      <c r="L62" s="27">
        <f>SUM(L4:L61)</f>
        <v>7909.41</v>
      </c>
      <c r="M62" s="25">
        <f>SUM(M4:M61)</f>
        <v>88146.630000000034</v>
      </c>
      <c r="N62" s="25">
        <f>SUM(N4:N61)</f>
        <v>266836.43000000005</v>
      </c>
      <c r="P62" s="25">
        <f>SUM(P4:P61)</f>
        <v>8814.6630000000023</v>
      </c>
      <c r="Q62" s="25">
        <f>SUM(Q4:Q61)</f>
        <v>9519.836040000002</v>
      </c>
      <c r="R62" s="55">
        <f>+N62+Q62</f>
        <v>276356.26604000008</v>
      </c>
    </row>
    <row r="63" spans="1:18" x14ac:dyDescent="0.25">
      <c r="I63" s="15">
        <f>I62/75</f>
        <v>133</v>
      </c>
      <c r="J63" s="15">
        <f>J62/35</f>
        <v>82</v>
      </c>
    </row>
  </sheetData>
  <autoFilter ref="A3:Q60" xr:uid="{00000000-0009-0000-0000-000019000000}"/>
  <mergeCells count="2">
    <mergeCell ref="A1:N1"/>
    <mergeCell ref="A2:N2"/>
  </mergeCells>
  <pageMargins left="0.25" right="0.25" top="0.75" bottom="0.75" header="0.3" footer="0.3"/>
  <pageSetup scale="53" orientation="landscape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8AC2C-23EE-43C7-A4B4-3B02340CA729}">
  <sheetPr codeName="Hoja36">
    <pageSetUpPr fitToPage="1"/>
  </sheetPr>
  <dimension ref="A1:R66"/>
  <sheetViews>
    <sheetView showGridLines="0" topLeftCell="C39" zoomScaleNormal="100" workbookViewId="0">
      <selection activeCell="I60" sqref="I60:J60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135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9" si="0">H4+M4</f>
        <v>0</v>
      </c>
      <c r="O4" s="81" t="s">
        <v>48</v>
      </c>
      <c r="P4" s="82">
        <f t="shared" ref="P4:P59" si="1">+M4*0.1</f>
        <v>0</v>
      </c>
      <c r="Q4" s="82">
        <f t="shared" ref="Q4:Q59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0" si="3">D5*6</f>
        <v>2519.2799999999997</v>
      </c>
      <c r="F5" s="8">
        <f t="shared" ref="F5:F63" si="4">$D$4</f>
        <v>419.88</v>
      </c>
      <c r="G5" s="9">
        <f t="shared" ref="G5:G60" si="5">E5+F5</f>
        <v>2939.16</v>
      </c>
      <c r="H5" s="37">
        <v>3101.8</v>
      </c>
      <c r="I5" s="10">
        <v>300</v>
      </c>
      <c r="J5" s="10"/>
      <c r="K5" s="11"/>
      <c r="L5" s="19"/>
      <c r="M5" s="13">
        <f>C5-H5-I5+L5-K5-J5</f>
        <v>598.19999999999982</v>
      </c>
      <c r="N5" s="14">
        <f t="shared" si="0"/>
        <v>3700</v>
      </c>
      <c r="O5" s="29" t="s">
        <v>47</v>
      </c>
      <c r="P5" s="33">
        <f t="shared" si="1"/>
        <v>59.819999999999986</v>
      </c>
      <c r="Q5" s="33">
        <f t="shared" si="2"/>
        <v>64.605599999999995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7">
        <v>3114.8</v>
      </c>
      <c r="I6" s="10">
        <v>150</v>
      </c>
      <c r="J6" s="10"/>
      <c r="K6" s="21"/>
      <c r="L6" s="19"/>
      <c r="M6" s="13">
        <f>C6-H6-I6+L6-K6-J6</f>
        <v>11735.2</v>
      </c>
      <c r="N6" s="14">
        <f>H6+M6</f>
        <v>14850</v>
      </c>
      <c r="O6" s="30" t="s">
        <v>118</v>
      </c>
      <c r="P6" s="33">
        <f t="shared" si="1"/>
        <v>1173.5200000000002</v>
      </c>
      <c r="Q6" s="33">
        <f t="shared" si="2"/>
        <v>1267.4016000000004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7">
        <v>3102</v>
      </c>
      <c r="I7" s="10">
        <v>375</v>
      </c>
      <c r="J7" s="10">
        <v>175</v>
      </c>
      <c r="K7" s="21"/>
      <c r="L7" s="19"/>
      <c r="M7" s="13">
        <f t="shared" ref="M7:M58" si="6">C7-H7-I7+L7-K7-J7</f>
        <v>1348</v>
      </c>
      <c r="N7" s="14">
        <f t="shared" si="0"/>
        <v>4450</v>
      </c>
      <c r="O7" s="36" t="s">
        <v>118</v>
      </c>
      <c r="P7" s="33">
        <f t="shared" si="1"/>
        <v>134.80000000000001</v>
      </c>
      <c r="Q7" s="33">
        <f t="shared" si="2"/>
        <v>145.58400000000003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2986.4</v>
      </c>
      <c r="I8" s="10">
        <v>375</v>
      </c>
      <c r="J8" s="10">
        <v>70</v>
      </c>
      <c r="K8" s="11">
        <v>282.86</v>
      </c>
      <c r="L8" s="12"/>
      <c r="M8" s="13">
        <f t="shared" si="6"/>
        <v>785.7399999999999</v>
      </c>
      <c r="N8" s="14">
        <f t="shared" si="0"/>
        <v>3772.14</v>
      </c>
      <c r="O8" s="30" t="s">
        <v>118</v>
      </c>
      <c r="P8" s="33">
        <f t="shared" si="1"/>
        <v>78.573999999999998</v>
      </c>
      <c r="Q8" s="33">
        <f t="shared" si="2"/>
        <v>84.859920000000002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2877.8</v>
      </c>
      <c r="I9" s="10">
        <v>300</v>
      </c>
      <c r="J9" s="10">
        <v>175</v>
      </c>
      <c r="K9" s="21">
        <v>293.92</v>
      </c>
      <c r="L9" s="12"/>
      <c r="M9" s="22">
        <f t="shared" si="6"/>
        <v>353.27999999999975</v>
      </c>
      <c r="N9" s="14">
        <f t="shared" si="0"/>
        <v>3231.08</v>
      </c>
      <c r="O9" s="30" t="s">
        <v>47</v>
      </c>
      <c r="P9" s="33">
        <f t="shared" si="1"/>
        <v>35.327999999999975</v>
      </c>
      <c r="Q9" s="33">
        <f t="shared" si="2"/>
        <v>38.154239999999973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3354.4</v>
      </c>
      <c r="I10" s="10">
        <v>0</v>
      </c>
      <c r="J10" s="10"/>
      <c r="K10" s="100"/>
      <c r="L10" s="19"/>
      <c r="M10" s="22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3101.8</v>
      </c>
      <c r="I11" s="10">
        <v>0</v>
      </c>
      <c r="J11" s="10">
        <v>35</v>
      </c>
      <c r="K11" s="11"/>
      <c r="L11" s="12"/>
      <c r="M11" s="13">
        <f t="shared" si="6"/>
        <v>3863.2</v>
      </c>
      <c r="N11" s="14">
        <f t="shared" si="0"/>
        <v>6965</v>
      </c>
      <c r="O11" s="30" t="s">
        <v>118</v>
      </c>
      <c r="P11" s="33">
        <f t="shared" si="1"/>
        <v>386.32</v>
      </c>
      <c r="Q11" s="33">
        <f t="shared" si="2"/>
        <v>417.22560000000004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3102</v>
      </c>
      <c r="I12" s="10">
        <v>225</v>
      </c>
      <c r="J12" s="10">
        <v>70</v>
      </c>
      <c r="K12" s="11"/>
      <c r="L12" s="12"/>
      <c r="M12" s="13">
        <f t="shared" si="6"/>
        <v>1603</v>
      </c>
      <c r="N12" s="14">
        <f t="shared" si="0"/>
        <v>4705</v>
      </c>
      <c r="O12" s="30">
        <v>0.03</v>
      </c>
      <c r="P12" s="33">
        <f t="shared" si="1"/>
        <v>160.30000000000001</v>
      </c>
      <c r="Q12" s="33">
        <f t="shared" si="2"/>
        <v>173.12400000000002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3104.2</v>
      </c>
      <c r="I13" s="10">
        <v>150</v>
      </c>
      <c r="J13" s="10">
        <v>105</v>
      </c>
      <c r="K13" s="21"/>
      <c r="L13" s="19"/>
      <c r="M13" s="13">
        <f t="shared" si="6"/>
        <v>140.80000000000018</v>
      </c>
      <c r="N13" s="14">
        <f t="shared" si="0"/>
        <v>3245</v>
      </c>
      <c r="O13" s="30">
        <v>0.03</v>
      </c>
      <c r="P13" s="33">
        <f t="shared" si="1"/>
        <v>14.08000000000002</v>
      </c>
      <c r="Q13" s="33">
        <f t="shared" si="2"/>
        <v>15.206400000000022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7">
        <v>2498.8000000000002</v>
      </c>
      <c r="I14" s="10">
        <v>0</v>
      </c>
      <c r="J14" s="10">
        <v>175</v>
      </c>
      <c r="K14" s="21">
        <f>528+502.86</f>
        <v>1030.8600000000001</v>
      </c>
      <c r="L14" s="19"/>
      <c r="M14" s="22">
        <f>C14-H14-I14+L14-K14-J14</f>
        <v>295.33999999999969</v>
      </c>
      <c r="N14" s="14">
        <f t="shared" si="0"/>
        <v>2794.14</v>
      </c>
      <c r="O14" s="36" t="s">
        <v>50</v>
      </c>
      <c r="P14" s="33">
        <f t="shared" si="1"/>
        <v>29.53399999999997</v>
      </c>
      <c r="Q14" s="33">
        <f t="shared" si="2"/>
        <v>31.89671999999997</v>
      </c>
    </row>
    <row r="15" spans="1:17" x14ac:dyDescent="0.25">
      <c r="A15" s="5">
        <v>150</v>
      </c>
      <c r="B15" s="6" t="s">
        <v>24</v>
      </c>
      <c r="C15" s="7">
        <v>5000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3102</v>
      </c>
      <c r="I15" s="10">
        <v>0</v>
      </c>
      <c r="J15" s="10"/>
      <c r="K15" s="21"/>
      <c r="L15" s="19"/>
      <c r="M15" s="13">
        <f t="shared" si="6"/>
        <v>1898</v>
      </c>
      <c r="N15" s="14">
        <f t="shared" si="0"/>
        <v>5000</v>
      </c>
      <c r="O15" s="30" t="s">
        <v>47</v>
      </c>
      <c r="P15" s="33">
        <f t="shared" si="1"/>
        <v>189.8</v>
      </c>
      <c r="Q15" s="33">
        <f t="shared" si="2"/>
        <v>204.98400000000004</v>
      </c>
    </row>
    <row r="16" spans="1:17" x14ac:dyDescent="0.25">
      <c r="A16" s="5">
        <v>752</v>
      </c>
      <c r="B16" s="6" t="s">
        <v>25</v>
      </c>
      <c r="C16" s="7">
        <v>4500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3125.4</v>
      </c>
      <c r="I16" s="10">
        <v>300</v>
      </c>
      <c r="J16" s="10">
        <v>105</v>
      </c>
      <c r="K16" s="21"/>
      <c r="L16" s="12"/>
      <c r="M16" s="13">
        <f>C16-H16-I16+L16-K16-J16</f>
        <v>969.59999999999991</v>
      </c>
      <c r="N16" s="14">
        <f t="shared" si="0"/>
        <v>4095</v>
      </c>
      <c r="O16" s="29">
        <v>0.03</v>
      </c>
      <c r="P16" s="33">
        <f t="shared" si="1"/>
        <v>96.96</v>
      </c>
      <c r="Q16" s="33">
        <f t="shared" si="2"/>
        <v>104.71680000000001</v>
      </c>
    </row>
    <row r="17" spans="1:17" s="55" customFormat="1" x14ac:dyDescent="0.25">
      <c r="A17" s="5">
        <v>162</v>
      </c>
      <c r="B17" s="6" t="s">
        <v>27</v>
      </c>
      <c r="C17" s="7">
        <v>4500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3308.2</v>
      </c>
      <c r="I17" s="10">
        <v>150</v>
      </c>
      <c r="J17" s="10">
        <v>35</v>
      </c>
      <c r="K17" s="21">
        <v>41.99</v>
      </c>
      <c r="L17" s="19">
        <v>964.29</v>
      </c>
      <c r="M17" s="13">
        <f t="shared" si="6"/>
        <v>1929.1000000000001</v>
      </c>
      <c r="N17" s="14">
        <f t="shared" si="0"/>
        <v>5237.3</v>
      </c>
      <c r="O17" s="29">
        <v>0.03</v>
      </c>
      <c r="P17" s="33">
        <f t="shared" si="1"/>
        <v>192.91000000000003</v>
      </c>
      <c r="Q17" s="33">
        <f t="shared" si="2"/>
        <v>208.34280000000004</v>
      </c>
    </row>
    <row r="18" spans="1:17" s="55" customFormat="1" x14ac:dyDescent="0.25">
      <c r="A18" s="5">
        <v>174</v>
      </c>
      <c r="B18" s="6" t="s">
        <v>28</v>
      </c>
      <c r="C18" s="7">
        <v>10000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2138.1999999999998</v>
      </c>
      <c r="I18" s="10">
        <v>0</v>
      </c>
      <c r="J18" s="10"/>
      <c r="K18" s="16">
        <f>893.39+1697.53</f>
        <v>2590.92</v>
      </c>
      <c r="L18" s="12"/>
      <c r="M18" s="13">
        <f t="shared" si="6"/>
        <v>5270.88</v>
      </c>
      <c r="N18" s="14">
        <f t="shared" si="0"/>
        <v>7409.08</v>
      </c>
      <c r="O18" s="29" t="s">
        <v>50</v>
      </c>
      <c r="P18" s="33">
        <f t="shared" si="1"/>
        <v>527.08800000000008</v>
      </c>
      <c r="Q18" s="33">
        <f t="shared" si="2"/>
        <v>569.25504000000012</v>
      </c>
    </row>
    <row r="19" spans="1:17" s="55" customFormat="1" x14ac:dyDescent="0.25">
      <c r="A19" s="5">
        <v>184</v>
      </c>
      <c r="B19" s="6" t="s">
        <v>29</v>
      </c>
      <c r="C19" s="7">
        <v>8000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2639.6</v>
      </c>
      <c r="I19" s="10">
        <v>375</v>
      </c>
      <c r="J19" s="10">
        <v>140</v>
      </c>
      <c r="K19" s="21">
        <v>1337.14</v>
      </c>
      <c r="L19" s="19"/>
      <c r="M19" s="13">
        <f t="shared" si="6"/>
        <v>3508.2599999999993</v>
      </c>
      <c r="N19" s="14">
        <f t="shared" si="0"/>
        <v>6147.8599999999988</v>
      </c>
      <c r="O19" s="29">
        <v>0.03</v>
      </c>
      <c r="P19" s="33">
        <f t="shared" si="1"/>
        <v>350.82599999999996</v>
      </c>
      <c r="Q19" s="33">
        <f t="shared" si="2"/>
        <v>378.89207999999996</v>
      </c>
    </row>
    <row r="20" spans="1:17" s="55" customFormat="1" ht="13.5" customHeight="1" x14ac:dyDescent="0.25">
      <c r="A20" s="5">
        <v>204</v>
      </c>
      <c r="B20" s="6" t="s">
        <v>33</v>
      </c>
      <c r="C20" s="7">
        <v>5000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3101.8</v>
      </c>
      <c r="I20" s="10">
        <v>225</v>
      </c>
      <c r="J20" s="10">
        <v>70</v>
      </c>
      <c r="K20" s="11"/>
      <c r="L20" s="19"/>
      <c r="M20" s="13">
        <f t="shared" si="6"/>
        <v>1603.1999999999998</v>
      </c>
      <c r="N20" s="14">
        <f t="shared" si="0"/>
        <v>4705</v>
      </c>
      <c r="O20" s="29" t="s">
        <v>118</v>
      </c>
      <c r="P20" s="33">
        <f t="shared" si="1"/>
        <v>160.32</v>
      </c>
      <c r="Q20" s="33">
        <f t="shared" si="2"/>
        <v>173.1456</v>
      </c>
    </row>
    <row r="21" spans="1:17" s="55" customFormat="1" x14ac:dyDescent="0.25">
      <c r="A21" s="5">
        <v>213</v>
      </c>
      <c r="B21" s="6" t="s">
        <v>34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3257.6</v>
      </c>
      <c r="I21" s="10">
        <v>0</v>
      </c>
      <c r="J21" s="10"/>
      <c r="K21" s="11"/>
      <c r="L21" s="12">
        <v>571.42999999999995</v>
      </c>
      <c r="M21" s="13">
        <f t="shared" si="6"/>
        <v>1313.83</v>
      </c>
      <c r="N21" s="14">
        <f t="shared" si="0"/>
        <v>4571.43</v>
      </c>
      <c r="O21" s="29" t="s">
        <v>50</v>
      </c>
      <c r="P21" s="33">
        <f t="shared" si="1"/>
        <v>131.38300000000001</v>
      </c>
      <c r="Q21" s="33">
        <f t="shared" si="2"/>
        <v>141.89364000000003</v>
      </c>
    </row>
    <row r="22" spans="1:17" s="55" customFormat="1" x14ac:dyDescent="0.25">
      <c r="A22" s="5">
        <v>215</v>
      </c>
      <c r="B22" s="6" t="s">
        <v>35</v>
      </c>
      <c r="C22" s="7">
        <v>5000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3104.6</v>
      </c>
      <c r="I22" s="10">
        <v>375</v>
      </c>
      <c r="J22" s="10">
        <v>35</v>
      </c>
      <c r="K22" s="21"/>
      <c r="L22" s="19"/>
      <c r="M22" s="13">
        <f t="shared" si="6"/>
        <v>1485.4</v>
      </c>
      <c r="N22" s="14">
        <f t="shared" si="0"/>
        <v>4590</v>
      </c>
      <c r="O22" s="29" t="s">
        <v>118</v>
      </c>
      <c r="P22" s="33">
        <f t="shared" si="1"/>
        <v>148.54000000000002</v>
      </c>
      <c r="Q22" s="33">
        <f t="shared" si="2"/>
        <v>160.42320000000004</v>
      </c>
    </row>
    <row r="23" spans="1:17" s="55" customFormat="1" x14ac:dyDescent="0.25">
      <c r="A23" s="5">
        <v>218</v>
      </c>
      <c r="B23" s="6" t="s">
        <v>36</v>
      </c>
      <c r="C23" s="7">
        <v>3500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3102</v>
      </c>
      <c r="I23" s="10">
        <v>0</v>
      </c>
      <c r="J23" s="10"/>
      <c r="K23" s="12"/>
      <c r="L23" s="12"/>
      <c r="M23" s="13">
        <f t="shared" si="6"/>
        <v>398</v>
      </c>
      <c r="N23" s="14">
        <f t="shared" si="0"/>
        <v>3500</v>
      </c>
      <c r="O23" s="29" t="s">
        <v>49</v>
      </c>
      <c r="P23" s="33">
        <f t="shared" si="1"/>
        <v>39.800000000000004</v>
      </c>
      <c r="Q23" s="33">
        <f t="shared" si="2"/>
        <v>42.984000000000009</v>
      </c>
    </row>
    <row r="24" spans="1:17" s="55" customFormat="1" x14ac:dyDescent="0.25">
      <c r="A24" s="36">
        <v>220</v>
      </c>
      <c r="B24" s="6" t="s">
        <v>37</v>
      </c>
      <c r="C24" s="7">
        <v>4000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2376.1999999999998</v>
      </c>
      <c r="I24" s="10">
        <v>150</v>
      </c>
      <c r="J24" s="10">
        <v>140</v>
      </c>
      <c r="K24" s="16">
        <v>610.33000000000004</v>
      </c>
      <c r="L24" s="12"/>
      <c r="M24" s="22">
        <f>C24-H24-I24+L24-K24-J24</f>
        <v>723.47000000000014</v>
      </c>
      <c r="N24" s="14">
        <f t="shared" si="0"/>
        <v>3099.67</v>
      </c>
      <c r="O24" s="36">
        <v>0.03</v>
      </c>
      <c r="P24" s="33">
        <f t="shared" si="1"/>
        <v>72.347000000000023</v>
      </c>
      <c r="Q24" s="33">
        <f t="shared" si="2"/>
        <v>78.134760000000028</v>
      </c>
    </row>
    <row r="25" spans="1:17" s="55" customFormat="1" x14ac:dyDescent="0.25">
      <c r="A25" s="5">
        <v>221</v>
      </c>
      <c r="B25" s="6" t="s">
        <v>38</v>
      </c>
      <c r="C25" s="7">
        <v>5000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7">
        <v>3104.8</v>
      </c>
      <c r="I25" s="10">
        <v>375</v>
      </c>
      <c r="J25" s="10"/>
      <c r="K25" s="21"/>
      <c r="L25" s="12"/>
      <c r="M25" s="13">
        <f t="shared" si="6"/>
        <v>1520.1999999999998</v>
      </c>
      <c r="N25" s="14">
        <f t="shared" si="0"/>
        <v>4625</v>
      </c>
      <c r="O25" s="29">
        <v>0.03</v>
      </c>
      <c r="P25" s="33">
        <f t="shared" si="1"/>
        <v>152.01999999999998</v>
      </c>
      <c r="Q25" s="33">
        <f t="shared" si="2"/>
        <v>164.1816</v>
      </c>
    </row>
    <row r="26" spans="1:17" s="55" customFormat="1" x14ac:dyDescent="0.25">
      <c r="A26" s="5">
        <v>222</v>
      </c>
      <c r="B26" s="6" t="s">
        <v>39</v>
      </c>
      <c r="C26" s="7">
        <v>8000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2429</v>
      </c>
      <c r="I26" s="10">
        <v>375</v>
      </c>
      <c r="J26" s="10">
        <v>175</v>
      </c>
      <c r="K26" s="16">
        <v>1538.46</v>
      </c>
      <c r="L26" s="19"/>
      <c r="M26" s="13">
        <f t="shared" si="6"/>
        <v>3482.54</v>
      </c>
      <c r="N26" s="14">
        <f t="shared" si="0"/>
        <v>5911.54</v>
      </c>
      <c r="O26" s="29" t="s">
        <v>118</v>
      </c>
      <c r="P26" s="33">
        <f t="shared" si="1"/>
        <v>348.25400000000002</v>
      </c>
      <c r="Q26" s="33">
        <f t="shared" si="2"/>
        <v>376.11432000000002</v>
      </c>
    </row>
    <row r="27" spans="1:17" s="55" customFormat="1" x14ac:dyDescent="0.25">
      <c r="A27" s="5">
        <v>227</v>
      </c>
      <c r="B27" s="6" t="s">
        <v>41</v>
      </c>
      <c r="C27" s="7">
        <v>6000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3102</v>
      </c>
      <c r="I27" s="10">
        <v>375</v>
      </c>
      <c r="J27" s="10">
        <v>140</v>
      </c>
      <c r="K27" s="21"/>
      <c r="L27" s="12"/>
      <c r="M27" s="13">
        <f t="shared" si="6"/>
        <v>2383</v>
      </c>
      <c r="N27" s="14">
        <f t="shared" si="0"/>
        <v>5485</v>
      </c>
      <c r="O27" s="29" t="s">
        <v>118</v>
      </c>
      <c r="P27" s="33">
        <f t="shared" si="1"/>
        <v>238.3</v>
      </c>
      <c r="Q27" s="33">
        <f t="shared" si="2"/>
        <v>257.36400000000003</v>
      </c>
    </row>
    <row r="28" spans="1:17" s="55" customFormat="1" x14ac:dyDescent="0.25">
      <c r="A28" s="5">
        <v>233</v>
      </c>
      <c r="B28" s="6" t="s">
        <v>42</v>
      </c>
      <c r="C28" s="7">
        <v>6250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3102</v>
      </c>
      <c r="I28" s="10">
        <v>300</v>
      </c>
      <c r="J28" s="10">
        <v>105</v>
      </c>
      <c r="K28" s="21"/>
      <c r="L28" s="19"/>
      <c r="M28" s="13">
        <f t="shared" si="6"/>
        <v>2743</v>
      </c>
      <c r="N28" s="14">
        <f t="shared" si="0"/>
        <v>5845</v>
      </c>
      <c r="O28" s="31" t="s">
        <v>118</v>
      </c>
      <c r="P28" s="33">
        <f t="shared" si="1"/>
        <v>274.3</v>
      </c>
      <c r="Q28" s="33">
        <f t="shared" si="2"/>
        <v>296.24400000000003</v>
      </c>
    </row>
    <row r="29" spans="1:17" s="55" customFormat="1" x14ac:dyDescent="0.25">
      <c r="A29" s="5">
        <v>244</v>
      </c>
      <c r="B29" s="6" t="s">
        <v>44</v>
      </c>
      <c r="C29" s="7">
        <v>5000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2870.6</v>
      </c>
      <c r="I29" s="10">
        <v>300</v>
      </c>
      <c r="J29" s="10">
        <v>105</v>
      </c>
      <c r="K29" s="21">
        <v>293.92</v>
      </c>
      <c r="L29" s="12"/>
      <c r="M29" s="13">
        <f>C29-H29-I29+L29-K29-J29</f>
        <v>1430.48</v>
      </c>
      <c r="N29" s="14">
        <f t="shared" si="0"/>
        <v>4301.08</v>
      </c>
      <c r="O29" s="29">
        <v>0.03</v>
      </c>
      <c r="P29" s="33">
        <f t="shared" si="1"/>
        <v>143.048</v>
      </c>
      <c r="Q29" s="33">
        <f t="shared" si="2"/>
        <v>154.49184000000002</v>
      </c>
    </row>
    <row r="30" spans="1:17" s="55" customFormat="1" x14ac:dyDescent="0.25">
      <c r="A30" s="5">
        <v>245</v>
      </c>
      <c r="B30" s="6" t="s">
        <v>45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3102</v>
      </c>
      <c r="I30" s="10">
        <v>0</v>
      </c>
      <c r="J30" s="10"/>
      <c r="K30" s="11"/>
      <c r="L30" s="19"/>
      <c r="M30" s="13">
        <f t="shared" si="6"/>
        <v>1898</v>
      </c>
      <c r="N30" s="14">
        <f>H30+M30</f>
        <v>5000</v>
      </c>
      <c r="O30" s="34" t="s">
        <v>47</v>
      </c>
      <c r="P30" s="33">
        <f t="shared" si="1"/>
        <v>189.8</v>
      </c>
      <c r="Q30" s="33">
        <f t="shared" si="2"/>
        <v>204.98400000000004</v>
      </c>
    </row>
    <row r="31" spans="1:17" s="55" customFormat="1" x14ac:dyDescent="0.25">
      <c r="A31" s="5">
        <v>252</v>
      </c>
      <c r="B31" s="6" t="s">
        <v>53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3102</v>
      </c>
      <c r="I31" s="10">
        <v>225</v>
      </c>
      <c r="J31" s="10">
        <v>70</v>
      </c>
      <c r="K31" s="21"/>
      <c r="L31" s="12"/>
      <c r="M31" s="22">
        <f>C31-H31-I31+L31-K31-J31</f>
        <v>1603</v>
      </c>
      <c r="N31" s="14">
        <f t="shared" si="0"/>
        <v>4705</v>
      </c>
      <c r="O31" s="5">
        <v>0.03</v>
      </c>
      <c r="P31" s="33">
        <f t="shared" si="1"/>
        <v>160.30000000000001</v>
      </c>
      <c r="Q31" s="33">
        <f t="shared" si="2"/>
        <v>173.12400000000002</v>
      </c>
    </row>
    <row r="32" spans="1:17" s="55" customFormat="1" x14ac:dyDescent="0.25">
      <c r="A32" s="5">
        <v>260</v>
      </c>
      <c r="B32" s="6" t="s">
        <v>54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3101.8</v>
      </c>
      <c r="I32" s="10">
        <v>300</v>
      </c>
      <c r="J32" s="10"/>
      <c r="K32" s="11"/>
      <c r="L32" s="19"/>
      <c r="M32" s="13">
        <f t="shared" si="6"/>
        <v>1598.1999999999998</v>
      </c>
      <c r="N32" s="14">
        <f t="shared" si="0"/>
        <v>4700</v>
      </c>
      <c r="O32" s="5" t="s">
        <v>48</v>
      </c>
      <c r="P32" s="33">
        <f t="shared" si="1"/>
        <v>159.82</v>
      </c>
      <c r="Q32" s="33">
        <f t="shared" si="2"/>
        <v>172.60560000000001</v>
      </c>
    </row>
    <row r="33" spans="1:17" s="55" customFormat="1" x14ac:dyDescent="0.25">
      <c r="A33" s="5">
        <v>261</v>
      </c>
      <c r="B33" s="6" t="s">
        <v>55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2133.1999999999998</v>
      </c>
      <c r="I33" s="10">
        <v>225</v>
      </c>
      <c r="J33" s="10">
        <v>105</v>
      </c>
      <c r="K33" s="16">
        <v>898.62</v>
      </c>
      <c r="L33" s="19"/>
      <c r="M33" s="13">
        <f t="shared" si="6"/>
        <v>638.18000000000018</v>
      </c>
      <c r="N33" s="14">
        <f t="shared" si="0"/>
        <v>2771.38</v>
      </c>
      <c r="O33" s="5">
        <v>0.03</v>
      </c>
      <c r="P33" s="33">
        <f t="shared" si="1"/>
        <v>63.818000000000019</v>
      </c>
      <c r="Q33" s="33">
        <f t="shared" si="2"/>
        <v>68.923440000000028</v>
      </c>
    </row>
    <row r="34" spans="1:17" s="55" customFormat="1" x14ac:dyDescent="0.25">
      <c r="A34" s="5">
        <v>267</v>
      </c>
      <c r="B34" s="6" t="s">
        <v>56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1961.4</v>
      </c>
      <c r="I34" s="10">
        <v>375</v>
      </c>
      <c r="J34" s="10">
        <v>35</v>
      </c>
      <c r="K34" s="16">
        <f>428.85+587.9</f>
        <v>1016.75</v>
      </c>
      <c r="L34" s="12"/>
      <c r="M34" s="13">
        <f t="shared" si="6"/>
        <v>1611.85</v>
      </c>
      <c r="N34" s="14">
        <f t="shared" si="0"/>
        <v>3573.25</v>
      </c>
      <c r="O34" s="5" t="s">
        <v>47</v>
      </c>
      <c r="P34" s="33">
        <f t="shared" si="1"/>
        <v>161.185</v>
      </c>
      <c r="Q34" s="33">
        <f t="shared" si="2"/>
        <v>174.07980000000001</v>
      </c>
    </row>
    <row r="35" spans="1:17" s="55" customFormat="1" x14ac:dyDescent="0.25">
      <c r="A35" s="5">
        <v>269</v>
      </c>
      <c r="B35" s="6" t="s">
        <v>58</v>
      </c>
      <c r="C35" s="7">
        <v>7000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3120.6</v>
      </c>
      <c r="I35" s="10">
        <v>225</v>
      </c>
      <c r="J35" s="10">
        <v>70</v>
      </c>
      <c r="K35" s="21"/>
      <c r="L35" s="19"/>
      <c r="M35" s="13">
        <f t="shared" si="6"/>
        <v>3584.4</v>
      </c>
      <c r="N35" s="14">
        <f>H35+M35</f>
        <v>6705</v>
      </c>
      <c r="O35" s="5" t="s">
        <v>118</v>
      </c>
      <c r="P35" s="33">
        <f t="shared" si="1"/>
        <v>358.44000000000005</v>
      </c>
      <c r="Q35" s="33">
        <f t="shared" si="2"/>
        <v>387.11520000000007</v>
      </c>
    </row>
    <row r="36" spans="1:17" s="55" customFormat="1" x14ac:dyDescent="0.25">
      <c r="A36" s="5">
        <v>271</v>
      </c>
      <c r="B36" s="6" t="s">
        <v>59</v>
      </c>
      <c r="C36" s="7">
        <v>3500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3020.2</v>
      </c>
      <c r="I36" s="10">
        <v>375</v>
      </c>
      <c r="J36" s="10">
        <v>105</v>
      </c>
      <c r="K36" s="21"/>
      <c r="L36" s="19"/>
      <c r="M36" s="22">
        <f>C36-H36-I36+L36-K36-J36+0.2</f>
        <v>1.819100425848319E-13</v>
      </c>
      <c r="N36" s="14">
        <f t="shared" si="0"/>
        <v>3020.2</v>
      </c>
      <c r="O36" s="5">
        <v>0.03</v>
      </c>
      <c r="P36" s="33">
        <f t="shared" si="1"/>
        <v>1.8191004258483192E-14</v>
      </c>
      <c r="Q36" s="33">
        <f t="shared" si="2"/>
        <v>1.9646284599161848E-14</v>
      </c>
    </row>
    <row r="37" spans="1:17" s="55" customFormat="1" x14ac:dyDescent="0.25">
      <c r="A37" s="5">
        <v>275</v>
      </c>
      <c r="B37" s="6" t="s">
        <v>60</v>
      </c>
      <c r="C37" s="7">
        <v>3375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3133</v>
      </c>
      <c r="I37" s="10">
        <v>0</v>
      </c>
      <c r="J37" s="10"/>
      <c r="K37" s="21"/>
      <c r="L37" s="19"/>
      <c r="M37" s="13">
        <f>C37-H37-I37+L37-K37-J37</f>
        <v>242</v>
      </c>
      <c r="N37" s="14">
        <f>H37+M37</f>
        <v>3375</v>
      </c>
      <c r="O37" s="5">
        <v>0.03</v>
      </c>
      <c r="P37" s="33">
        <f>+M37*0.1</f>
        <v>24.200000000000003</v>
      </c>
      <c r="Q37" s="33">
        <f>+P37*1.08</f>
        <v>26.136000000000006</v>
      </c>
    </row>
    <row r="38" spans="1:17" s="55" customFormat="1" x14ac:dyDescent="0.25">
      <c r="A38" s="5">
        <v>276</v>
      </c>
      <c r="B38" s="6" t="s">
        <v>61</v>
      </c>
      <c r="C38" s="7">
        <v>5000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6700</v>
      </c>
      <c r="I38" s="10">
        <v>0</v>
      </c>
      <c r="J38" s="10">
        <v>105</v>
      </c>
      <c r="K38" s="11"/>
      <c r="L38" s="19">
        <v>7678.59</v>
      </c>
      <c r="M38" s="13">
        <f>C38-H38-I38+L38-K38-J38</f>
        <v>5873.59</v>
      </c>
      <c r="N38" s="14">
        <f t="shared" si="0"/>
        <v>12573.59</v>
      </c>
      <c r="O38" s="5">
        <v>0.03</v>
      </c>
      <c r="P38" s="33">
        <f t="shared" si="1"/>
        <v>587.35900000000004</v>
      </c>
      <c r="Q38" s="33">
        <f t="shared" si="2"/>
        <v>634.34772000000009</v>
      </c>
    </row>
    <row r="39" spans="1:17" s="55" customFormat="1" x14ac:dyDescent="0.25">
      <c r="A39" s="5">
        <v>279</v>
      </c>
      <c r="B39" s="6" t="s">
        <v>63</v>
      </c>
      <c r="C39" s="7">
        <v>4500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3101.8</v>
      </c>
      <c r="I39" s="10">
        <v>225</v>
      </c>
      <c r="J39" s="10">
        <v>70</v>
      </c>
      <c r="K39" s="21"/>
      <c r="L39" s="19"/>
      <c r="M39" s="22">
        <f>C39-H39-I39+L39-K39-J39</f>
        <v>1103.1999999999998</v>
      </c>
      <c r="N39" s="14">
        <f t="shared" si="0"/>
        <v>4205</v>
      </c>
      <c r="O39" s="5" t="s">
        <v>118</v>
      </c>
      <c r="P39" s="33">
        <f t="shared" si="1"/>
        <v>110.32</v>
      </c>
      <c r="Q39" s="33">
        <f t="shared" si="2"/>
        <v>119.1456</v>
      </c>
    </row>
    <row r="40" spans="1:17" s="55" customFormat="1" x14ac:dyDescent="0.25">
      <c r="A40" s="5">
        <v>280</v>
      </c>
      <c r="B40" s="6" t="s">
        <v>64</v>
      </c>
      <c r="C40" s="7">
        <v>5000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3101.8</v>
      </c>
      <c r="I40" s="10">
        <v>0</v>
      </c>
      <c r="J40" s="10"/>
      <c r="K40" s="11"/>
      <c r="L40" s="19"/>
      <c r="M40" s="13">
        <f t="shared" si="6"/>
        <v>1898.1999999999998</v>
      </c>
      <c r="N40" s="14">
        <f t="shared" si="0"/>
        <v>5000</v>
      </c>
      <c r="O40" s="5" t="s">
        <v>119</v>
      </c>
      <c r="P40" s="33">
        <f t="shared" si="1"/>
        <v>189.82</v>
      </c>
      <c r="Q40" s="33">
        <f t="shared" si="2"/>
        <v>205.00560000000002</v>
      </c>
    </row>
    <row r="41" spans="1:17" s="55" customFormat="1" x14ac:dyDescent="0.25">
      <c r="A41" s="5">
        <v>281</v>
      </c>
      <c r="B41" s="6" t="s">
        <v>65</v>
      </c>
      <c r="C41" s="7">
        <v>8750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3101.8</v>
      </c>
      <c r="I41" s="10">
        <v>0</v>
      </c>
      <c r="J41" s="10"/>
      <c r="K41" s="11"/>
      <c r="L41" s="19"/>
      <c r="M41" s="13">
        <f t="shared" si="6"/>
        <v>5648.2</v>
      </c>
      <c r="N41" s="14">
        <f t="shared" si="0"/>
        <v>8750</v>
      </c>
      <c r="O41" s="5">
        <v>0.03</v>
      </c>
      <c r="P41" s="33">
        <f t="shared" si="1"/>
        <v>564.82000000000005</v>
      </c>
      <c r="Q41" s="33">
        <f t="shared" si="2"/>
        <v>610.00560000000007</v>
      </c>
    </row>
    <row r="42" spans="1:17" s="55" customFormat="1" x14ac:dyDescent="0.25">
      <c r="A42" s="5">
        <v>283</v>
      </c>
      <c r="B42" s="6" t="s">
        <v>66</v>
      </c>
      <c r="C42" s="7">
        <v>5000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3102</v>
      </c>
      <c r="I42" s="10">
        <v>150</v>
      </c>
      <c r="J42" s="10">
        <v>70</v>
      </c>
      <c r="K42" s="21"/>
      <c r="L42" s="12"/>
      <c r="M42" s="13">
        <f t="shared" si="6"/>
        <v>1678</v>
      </c>
      <c r="N42" s="14">
        <f t="shared" si="0"/>
        <v>4780</v>
      </c>
      <c r="O42" s="5">
        <v>0.03</v>
      </c>
      <c r="P42" s="33">
        <f t="shared" si="1"/>
        <v>167.8</v>
      </c>
      <c r="Q42" s="33">
        <f t="shared" si="2"/>
        <v>181.22400000000002</v>
      </c>
    </row>
    <row r="43" spans="1:17" s="55" customFormat="1" x14ac:dyDescent="0.25">
      <c r="A43" s="5">
        <v>284</v>
      </c>
      <c r="B43" s="6" t="s">
        <v>67</v>
      </c>
      <c r="C43" s="7">
        <v>4000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3101.8</v>
      </c>
      <c r="I43" s="10">
        <v>0</v>
      </c>
      <c r="J43" s="10"/>
      <c r="K43" s="11"/>
      <c r="L43" s="19"/>
      <c r="M43" s="13">
        <f t="shared" si="6"/>
        <v>898.19999999999982</v>
      </c>
      <c r="N43" s="14">
        <f t="shared" si="0"/>
        <v>4000</v>
      </c>
      <c r="O43" s="5" t="s">
        <v>48</v>
      </c>
      <c r="P43" s="33">
        <f t="shared" si="1"/>
        <v>89.82</v>
      </c>
      <c r="Q43" s="33">
        <f t="shared" si="2"/>
        <v>97.005600000000001</v>
      </c>
    </row>
    <row r="44" spans="1:17" s="55" customFormat="1" x14ac:dyDescent="0.25">
      <c r="A44" s="5">
        <v>285</v>
      </c>
      <c r="B44" s="6" t="s">
        <v>68</v>
      </c>
      <c r="C44" s="7">
        <v>4000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3117.8</v>
      </c>
      <c r="I44" s="10">
        <v>75</v>
      </c>
      <c r="J44" s="10"/>
      <c r="K44" s="21"/>
      <c r="L44" s="19"/>
      <c r="M44" s="13">
        <f>C44-H44-I44+L44-K44-J44</f>
        <v>807.19999999999982</v>
      </c>
      <c r="N44" s="14">
        <f t="shared" si="0"/>
        <v>3925</v>
      </c>
      <c r="O44" s="5" t="s">
        <v>48</v>
      </c>
      <c r="P44" s="33">
        <f t="shared" si="1"/>
        <v>80.719999999999985</v>
      </c>
      <c r="Q44" s="33">
        <f t="shared" si="2"/>
        <v>87.177599999999984</v>
      </c>
    </row>
    <row r="45" spans="1:17" s="55" customFormat="1" x14ac:dyDescent="0.25">
      <c r="A45" s="5">
        <v>286</v>
      </c>
      <c r="B45" s="6" t="s">
        <v>69</v>
      </c>
      <c r="C45" s="7">
        <v>4000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3102</v>
      </c>
      <c r="I45" s="10">
        <v>375</v>
      </c>
      <c r="J45" s="10"/>
      <c r="K45" s="11"/>
      <c r="L45" s="19"/>
      <c r="M45" s="13">
        <f t="shared" si="6"/>
        <v>523</v>
      </c>
      <c r="N45" s="14">
        <f t="shared" si="0"/>
        <v>3625</v>
      </c>
      <c r="O45" s="5" t="s">
        <v>118</v>
      </c>
      <c r="P45" s="33">
        <f t="shared" si="1"/>
        <v>52.300000000000004</v>
      </c>
      <c r="Q45" s="33">
        <f t="shared" si="2"/>
        <v>56.484000000000009</v>
      </c>
    </row>
    <row r="46" spans="1:17" s="55" customFormat="1" x14ac:dyDescent="0.25">
      <c r="A46" s="5">
        <v>287</v>
      </c>
      <c r="B46" s="6" t="s">
        <v>72</v>
      </c>
      <c r="C46" s="7">
        <v>5000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3104.8</v>
      </c>
      <c r="I46" s="10">
        <v>225</v>
      </c>
      <c r="J46" s="10">
        <v>105</v>
      </c>
      <c r="K46" s="21"/>
      <c r="L46" s="19"/>
      <c r="M46" s="13">
        <f>C46-H46-I46+L46-K46-J46</f>
        <v>1565.1999999999998</v>
      </c>
      <c r="N46" s="14">
        <f t="shared" si="0"/>
        <v>4670</v>
      </c>
      <c r="O46" s="5" t="s">
        <v>118</v>
      </c>
      <c r="P46" s="33">
        <f t="shared" si="1"/>
        <v>156.51999999999998</v>
      </c>
      <c r="Q46" s="33">
        <f t="shared" si="2"/>
        <v>169.04159999999999</v>
      </c>
    </row>
    <row r="47" spans="1:17" s="55" customFormat="1" x14ac:dyDescent="0.25">
      <c r="A47" s="5">
        <v>288</v>
      </c>
      <c r="B47" s="6" t="s">
        <v>73</v>
      </c>
      <c r="C47" s="7">
        <v>3500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3102</v>
      </c>
      <c r="I47" s="10">
        <v>0</v>
      </c>
      <c r="J47" s="10"/>
      <c r="K47" s="11"/>
      <c r="L47" s="19"/>
      <c r="M47" s="13">
        <f>C47-H47-I47+L47-K47-J47</f>
        <v>398</v>
      </c>
      <c r="N47" s="14">
        <f t="shared" si="0"/>
        <v>3500</v>
      </c>
      <c r="O47" s="5">
        <v>0.03</v>
      </c>
      <c r="P47" s="33">
        <f t="shared" si="1"/>
        <v>39.800000000000004</v>
      </c>
      <c r="Q47" s="33">
        <f t="shared" si="2"/>
        <v>42.984000000000009</v>
      </c>
    </row>
    <row r="48" spans="1:17" x14ac:dyDescent="0.25">
      <c r="A48" s="5">
        <v>289</v>
      </c>
      <c r="B48" s="6" t="s">
        <v>74</v>
      </c>
      <c r="C48" s="7">
        <v>3500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3102</v>
      </c>
      <c r="I48" s="10">
        <v>0</v>
      </c>
      <c r="J48" s="10"/>
      <c r="K48" s="11"/>
      <c r="L48" s="19">
        <v>1500</v>
      </c>
      <c r="M48" s="13">
        <f t="shared" si="6"/>
        <v>1898</v>
      </c>
      <c r="N48" s="14">
        <f t="shared" si="0"/>
        <v>5000</v>
      </c>
      <c r="O48" s="5">
        <v>0.03</v>
      </c>
      <c r="P48" s="33">
        <f t="shared" si="1"/>
        <v>189.8</v>
      </c>
      <c r="Q48" s="33">
        <f t="shared" si="2"/>
        <v>204.98400000000004</v>
      </c>
    </row>
    <row r="49" spans="1:17" x14ac:dyDescent="0.25">
      <c r="A49" s="5">
        <v>291</v>
      </c>
      <c r="B49" s="6" t="s">
        <v>78</v>
      </c>
      <c r="C49" s="7">
        <v>4250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3102</v>
      </c>
      <c r="I49" s="10">
        <v>0</v>
      </c>
      <c r="J49" s="10">
        <v>105</v>
      </c>
      <c r="K49" s="11"/>
      <c r="L49" s="19"/>
      <c r="M49" s="13">
        <f t="shared" si="6"/>
        <v>1043</v>
      </c>
      <c r="N49" s="14">
        <f t="shared" si="0"/>
        <v>4145</v>
      </c>
      <c r="O49" s="5">
        <v>0.03</v>
      </c>
      <c r="P49" s="33">
        <f t="shared" si="1"/>
        <v>104.30000000000001</v>
      </c>
      <c r="Q49" s="33">
        <f t="shared" si="2"/>
        <v>112.64400000000002</v>
      </c>
    </row>
    <row r="50" spans="1:17" x14ac:dyDescent="0.25">
      <c r="A50" s="5">
        <v>293</v>
      </c>
      <c r="B50" s="6" t="s">
        <v>89</v>
      </c>
      <c r="C50" s="7">
        <v>4000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3102</v>
      </c>
      <c r="I50" s="10">
        <v>225</v>
      </c>
      <c r="J50" s="10">
        <v>70</v>
      </c>
      <c r="K50" s="11"/>
      <c r="L50" s="12"/>
      <c r="M50" s="13">
        <f t="shared" si="6"/>
        <v>603</v>
      </c>
      <c r="N50" s="14">
        <f t="shared" si="0"/>
        <v>3705</v>
      </c>
      <c r="O50" s="5">
        <v>0.03</v>
      </c>
      <c r="P50" s="33">
        <f t="shared" si="1"/>
        <v>60.300000000000004</v>
      </c>
      <c r="Q50" s="33">
        <f t="shared" si="2"/>
        <v>65.124000000000009</v>
      </c>
    </row>
    <row r="51" spans="1:17" x14ac:dyDescent="0.25">
      <c r="A51" s="5">
        <v>294</v>
      </c>
      <c r="B51" s="6" t="s">
        <v>91</v>
      </c>
      <c r="C51" s="7">
        <v>4000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3102</v>
      </c>
      <c r="I51" s="10">
        <v>375</v>
      </c>
      <c r="J51" s="10"/>
      <c r="L51" s="12"/>
      <c r="M51" s="22">
        <f>C51-H51-I51+L51-K50-J51</f>
        <v>523</v>
      </c>
      <c r="N51" s="14">
        <f t="shared" si="0"/>
        <v>3625</v>
      </c>
      <c r="O51" s="5">
        <v>0.03</v>
      </c>
      <c r="P51" s="33">
        <f t="shared" si="1"/>
        <v>52.300000000000004</v>
      </c>
      <c r="Q51" s="33">
        <f t="shared" si="2"/>
        <v>56.484000000000009</v>
      </c>
    </row>
    <row r="52" spans="1:17" x14ac:dyDescent="0.25">
      <c r="A52" s="5">
        <v>295</v>
      </c>
      <c r="B52" s="6" t="s">
        <v>104</v>
      </c>
      <c r="C52" s="7">
        <v>5500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3104.8</v>
      </c>
      <c r="I52" s="10">
        <v>375</v>
      </c>
      <c r="J52" s="10">
        <v>70</v>
      </c>
      <c r="K52" s="21"/>
      <c r="L52" s="12"/>
      <c r="M52" s="22">
        <f t="shared" si="6"/>
        <v>1950.1999999999998</v>
      </c>
      <c r="N52" s="14">
        <f t="shared" si="0"/>
        <v>5055</v>
      </c>
      <c r="O52" s="5" t="s">
        <v>118</v>
      </c>
      <c r="P52" s="33">
        <f t="shared" si="1"/>
        <v>195.01999999999998</v>
      </c>
      <c r="Q52" s="33">
        <f t="shared" si="2"/>
        <v>210.6216</v>
      </c>
    </row>
    <row r="53" spans="1:17" x14ac:dyDescent="0.25">
      <c r="A53" s="5">
        <v>298</v>
      </c>
      <c r="B53" s="6" t="s">
        <v>115</v>
      </c>
      <c r="C53" s="7">
        <v>5000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1593.6</v>
      </c>
      <c r="I53" s="10">
        <v>300</v>
      </c>
      <c r="J53" s="10">
        <v>140</v>
      </c>
      <c r="K53" s="16">
        <v>1438.36</v>
      </c>
      <c r="L53" s="12"/>
      <c r="M53" s="22">
        <f t="shared" si="6"/>
        <v>1528.0400000000002</v>
      </c>
      <c r="N53" s="14">
        <f t="shared" si="0"/>
        <v>3121.6400000000003</v>
      </c>
      <c r="O53" s="5">
        <v>0.03</v>
      </c>
      <c r="P53" s="33">
        <f t="shared" si="1"/>
        <v>152.80400000000003</v>
      </c>
      <c r="Q53" s="33">
        <f t="shared" si="2"/>
        <v>165.02832000000004</v>
      </c>
    </row>
    <row r="54" spans="1:17" x14ac:dyDescent="0.25">
      <c r="A54" s="5">
        <v>299</v>
      </c>
      <c r="B54" s="6" t="s">
        <v>116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3133.2</v>
      </c>
      <c r="I54" s="10">
        <v>375</v>
      </c>
      <c r="J54" s="10">
        <v>175</v>
      </c>
      <c r="K54" s="11"/>
      <c r="L54" s="12"/>
      <c r="M54" s="22">
        <f>C54-H54-I54+L54-K54-J54</f>
        <v>316.80000000000018</v>
      </c>
      <c r="N54" s="14">
        <f t="shared" si="0"/>
        <v>3450</v>
      </c>
      <c r="O54" s="5">
        <v>0.03</v>
      </c>
      <c r="P54" s="33">
        <f t="shared" si="1"/>
        <v>31.680000000000021</v>
      </c>
      <c r="Q54" s="33">
        <f t="shared" si="2"/>
        <v>34.214400000000026</v>
      </c>
    </row>
    <row r="55" spans="1:17" x14ac:dyDescent="0.25">
      <c r="A55" s="5">
        <v>300</v>
      </c>
      <c r="B55" s="6" t="s">
        <v>121</v>
      </c>
      <c r="C55" s="7">
        <v>6250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3102</v>
      </c>
      <c r="I55" s="10">
        <v>0</v>
      </c>
      <c r="J55" s="10"/>
      <c r="K55" s="11"/>
      <c r="L55" s="12"/>
      <c r="M55" s="22">
        <f t="shared" si="6"/>
        <v>3148</v>
      </c>
      <c r="N55" s="14">
        <f t="shared" si="0"/>
        <v>6250</v>
      </c>
      <c r="O55" s="5">
        <v>0.03</v>
      </c>
      <c r="P55" s="33">
        <f t="shared" si="1"/>
        <v>314.8</v>
      </c>
      <c r="Q55" s="33">
        <f t="shared" si="2"/>
        <v>339.98400000000004</v>
      </c>
    </row>
    <row r="56" spans="1:17" x14ac:dyDescent="0.25">
      <c r="A56" s="5">
        <v>301</v>
      </c>
      <c r="B56" s="6" t="s">
        <v>124</v>
      </c>
      <c r="C56" s="7">
        <v>5000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3102</v>
      </c>
      <c r="I56" s="10">
        <v>0</v>
      </c>
      <c r="J56" s="10"/>
      <c r="K56" s="11"/>
      <c r="L56" s="12"/>
      <c r="M56" s="22">
        <f t="shared" si="6"/>
        <v>1898</v>
      </c>
      <c r="N56" s="14">
        <f t="shared" si="0"/>
        <v>5000</v>
      </c>
      <c r="O56" s="5">
        <v>0.03</v>
      </c>
      <c r="P56" s="33">
        <f t="shared" si="1"/>
        <v>189.8</v>
      </c>
      <c r="Q56" s="33">
        <f t="shared" si="2"/>
        <v>204.98400000000004</v>
      </c>
    </row>
    <row r="57" spans="1:17" x14ac:dyDescent="0.25">
      <c r="A57" s="5">
        <v>302</v>
      </c>
      <c r="B57" s="6" t="s">
        <v>128</v>
      </c>
      <c r="C57" s="7">
        <v>5000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3102</v>
      </c>
      <c r="I57" s="10">
        <v>300</v>
      </c>
      <c r="J57" s="10">
        <v>35</v>
      </c>
      <c r="K57" s="11"/>
      <c r="L57" s="12"/>
      <c r="M57" s="22">
        <f t="shared" si="6"/>
        <v>1563</v>
      </c>
      <c r="N57" s="14">
        <f t="shared" si="0"/>
        <v>4665</v>
      </c>
      <c r="O57" s="5">
        <v>0.03</v>
      </c>
      <c r="P57" s="33">
        <f t="shared" si="1"/>
        <v>156.30000000000001</v>
      </c>
      <c r="Q57" s="33">
        <f t="shared" si="2"/>
        <v>168.80400000000003</v>
      </c>
    </row>
    <row r="58" spans="1:17" x14ac:dyDescent="0.25">
      <c r="A58" s="5">
        <v>303</v>
      </c>
      <c r="B58" s="6" t="s">
        <v>129</v>
      </c>
      <c r="C58" s="7">
        <v>3500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3102</v>
      </c>
      <c r="I58" s="10">
        <v>225</v>
      </c>
      <c r="J58" s="10"/>
      <c r="K58" s="11"/>
      <c r="L58" s="12"/>
      <c r="M58" s="22">
        <f t="shared" si="6"/>
        <v>173</v>
      </c>
      <c r="N58" s="14">
        <f t="shared" si="0"/>
        <v>3275</v>
      </c>
      <c r="O58" s="5">
        <v>0.03</v>
      </c>
      <c r="P58" s="33">
        <f t="shared" si="1"/>
        <v>17.3</v>
      </c>
      <c r="Q58" s="33">
        <f t="shared" si="2"/>
        <v>18.684000000000001</v>
      </c>
    </row>
    <row r="59" spans="1:17" x14ac:dyDescent="0.25">
      <c r="A59" s="5">
        <v>304</v>
      </c>
      <c r="B59" s="6" t="s">
        <v>131</v>
      </c>
      <c r="C59" s="7">
        <v>4500</v>
      </c>
      <c r="D59" s="7">
        <v>419.88</v>
      </c>
      <c r="E59" s="8">
        <f t="shared" si="3"/>
        <v>2519.2799999999997</v>
      </c>
      <c r="F59" s="8">
        <f t="shared" si="4"/>
        <v>419.88</v>
      </c>
      <c r="G59" s="9">
        <f t="shared" si="5"/>
        <v>2939.16</v>
      </c>
      <c r="H59" s="37">
        <v>3354.4</v>
      </c>
      <c r="I59" s="10">
        <v>375</v>
      </c>
      <c r="J59" s="10">
        <v>140</v>
      </c>
      <c r="K59" s="11"/>
      <c r="L59" s="12"/>
      <c r="M59" s="22">
        <f>C59-H59-I59+L59-K59-J59</f>
        <v>630.59999999999991</v>
      </c>
      <c r="N59" s="14">
        <f t="shared" si="0"/>
        <v>3985</v>
      </c>
      <c r="O59" s="5">
        <v>0.03</v>
      </c>
      <c r="P59" s="33">
        <f t="shared" si="1"/>
        <v>63.059999999999995</v>
      </c>
      <c r="Q59" s="33">
        <f t="shared" si="2"/>
        <v>68.104799999999997</v>
      </c>
    </row>
    <row r="60" spans="1:17" x14ac:dyDescent="0.25">
      <c r="A60" s="5">
        <v>305</v>
      </c>
      <c r="B60" s="6" t="s">
        <v>132</v>
      </c>
      <c r="C60" s="7">
        <v>4000</v>
      </c>
      <c r="D60" s="7">
        <v>419.88</v>
      </c>
      <c r="E60" s="8">
        <f t="shared" si="3"/>
        <v>2519.2799999999997</v>
      </c>
      <c r="F60" s="8">
        <f t="shared" si="4"/>
        <v>419.88</v>
      </c>
      <c r="G60" s="9">
        <f t="shared" si="5"/>
        <v>2939.16</v>
      </c>
      <c r="H60" s="37">
        <f>C60-I60</f>
        <v>3625</v>
      </c>
      <c r="I60" s="10">
        <v>375</v>
      </c>
      <c r="J60" s="10">
        <v>140</v>
      </c>
      <c r="K60" s="11"/>
      <c r="L60" s="12"/>
      <c r="M60" s="22"/>
      <c r="N60" s="14">
        <f>H60+M60</f>
        <v>3625</v>
      </c>
      <c r="O60" s="5">
        <v>0.03</v>
      </c>
      <c r="P60" s="33">
        <f>+M60*0.1</f>
        <v>0</v>
      </c>
      <c r="Q60" s="33">
        <f>+P60*1.08</f>
        <v>0</v>
      </c>
    </row>
    <row r="61" spans="1:17" x14ac:dyDescent="0.25">
      <c r="A61" s="5">
        <v>306</v>
      </c>
      <c r="B61" s="6" t="s">
        <v>136</v>
      </c>
      <c r="C61" s="7">
        <v>4000</v>
      </c>
      <c r="D61" s="7">
        <v>419.88</v>
      </c>
      <c r="E61" s="8">
        <f>D61*6</f>
        <v>2519.2799999999997</v>
      </c>
      <c r="F61" s="8">
        <f t="shared" si="4"/>
        <v>419.88</v>
      </c>
      <c r="G61" s="9">
        <f>E61+F61</f>
        <v>2939.16</v>
      </c>
      <c r="H61" s="115">
        <v>3354.4</v>
      </c>
      <c r="I61" s="10">
        <v>225</v>
      </c>
      <c r="J61" s="10"/>
      <c r="K61" s="11"/>
      <c r="L61" s="12"/>
      <c r="M61" s="22">
        <f>C61-H61-I61+L61-K61-J61</f>
        <v>420.59999999999991</v>
      </c>
      <c r="N61" s="14">
        <f>H61+M61</f>
        <v>3775</v>
      </c>
      <c r="O61" s="5">
        <v>0.03</v>
      </c>
      <c r="P61" s="33">
        <f>+M61*0.1</f>
        <v>42.059999999999995</v>
      </c>
      <c r="Q61" s="33">
        <f>+P61*1.08</f>
        <v>45.424799999999998</v>
      </c>
    </row>
    <row r="62" spans="1:17" x14ac:dyDescent="0.25">
      <c r="A62" s="5">
        <v>307</v>
      </c>
      <c r="B62" s="6" t="s">
        <v>137</v>
      </c>
      <c r="C62" s="7">
        <v>4000</v>
      </c>
      <c r="D62" s="7">
        <v>419.88</v>
      </c>
      <c r="E62" s="8">
        <f>D62*6</f>
        <v>2519.2799999999997</v>
      </c>
      <c r="F62" s="8">
        <f t="shared" si="4"/>
        <v>419.88</v>
      </c>
      <c r="G62" s="9">
        <f>E62+F62</f>
        <v>2939.16</v>
      </c>
      <c r="H62" s="115">
        <v>3354.4</v>
      </c>
      <c r="I62" s="10">
        <v>375</v>
      </c>
      <c r="J62" s="10"/>
      <c r="K62" s="11"/>
      <c r="L62" s="12"/>
      <c r="M62" s="22">
        <f>C62-H62-I62+L62-K62-J62</f>
        <v>270.59999999999991</v>
      </c>
      <c r="N62" s="14">
        <f>H62+M62</f>
        <v>3625</v>
      </c>
      <c r="O62" s="5">
        <v>0.03</v>
      </c>
      <c r="P62" s="33">
        <f>+M62*0.1</f>
        <v>27.059999999999992</v>
      </c>
      <c r="Q62" s="33">
        <f>+P62*1.08</f>
        <v>29.224799999999991</v>
      </c>
    </row>
    <row r="63" spans="1:17" x14ac:dyDescent="0.25">
      <c r="A63" s="5">
        <v>308</v>
      </c>
      <c r="B63" s="6" t="s">
        <v>138</v>
      </c>
      <c r="C63" s="7">
        <v>2700</v>
      </c>
      <c r="D63" s="7">
        <v>420.88</v>
      </c>
      <c r="E63" s="8">
        <f>D63*6</f>
        <v>2525.2799999999997</v>
      </c>
      <c r="F63" s="8">
        <f t="shared" si="4"/>
        <v>419.88</v>
      </c>
      <c r="G63" s="9">
        <f>E63+F63</f>
        <v>2945.16</v>
      </c>
      <c r="H63" s="115">
        <v>2700.2</v>
      </c>
      <c r="I63" s="10"/>
      <c r="J63" s="10"/>
      <c r="K63" s="11"/>
      <c r="L63" s="12"/>
      <c r="M63" s="22">
        <f>C63-H63-I63+L63-K63-J63+0.2</f>
        <v>1.819100425848319E-13</v>
      </c>
      <c r="N63" s="14">
        <f>H63+M63</f>
        <v>2700.2</v>
      </c>
      <c r="O63" s="5">
        <v>0.03</v>
      </c>
      <c r="P63" s="33">
        <f>+M63*0.1</f>
        <v>1.8191004258483192E-14</v>
      </c>
      <c r="Q63" s="33">
        <f>+P63*1.08</f>
        <v>1.9646284599161848E-14</v>
      </c>
    </row>
    <row r="64" spans="1:17" ht="16.149999999999999" customHeight="1" thickBot="1" x14ac:dyDescent="0.3"/>
    <row r="65" spans="1:18" ht="18" thickBot="1" x14ac:dyDescent="0.35">
      <c r="A65" s="23"/>
      <c r="B65" s="24"/>
      <c r="C65" s="25">
        <f>SUM(C4:C64)</f>
        <v>295575</v>
      </c>
      <c r="D65" s="25">
        <f t="shared" ref="D65:K65" si="7">SUM(D4:D64)</f>
        <v>25193.800000000007</v>
      </c>
      <c r="E65" s="25">
        <f t="shared" si="7"/>
        <v>148643.51999999996</v>
      </c>
      <c r="F65" s="25">
        <f t="shared" si="7"/>
        <v>24772.920000000006</v>
      </c>
      <c r="G65" s="25">
        <f t="shared" si="7"/>
        <v>173416.44000000015</v>
      </c>
      <c r="H65" s="25">
        <f>SUM(H4:H64)</f>
        <v>180554</v>
      </c>
      <c r="I65" s="26">
        <f t="shared" si="7"/>
        <v>11475</v>
      </c>
      <c r="J65" s="26">
        <f t="shared" si="7"/>
        <v>3465</v>
      </c>
      <c r="K65" s="26">
        <f t="shared" si="7"/>
        <v>11374.130000000001</v>
      </c>
      <c r="L65" s="27">
        <f>SUM(L4:L64)</f>
        <v>10714.31</v>
      </c>
      <c r="M65" s="25">
        <f>SUM(M4:M64)</f>
        <v>99561.579999999987</v>
      </c>
      <c r="N65" s="25">
        <f>SUM(N4:N64)</f>
        <v>280115.58</v>
      </c>
      <c r="P65" s="25">
        <f>SUM(P4:P64)</f>
        <v>9956.157999999994</v>
      </c>
      <c r="Q65" s="25">
        <f>SUM(Q4:Q64)</f>
        <v>10752.650640000003</v>
      </c>
      <c r="R65" s="55">
        <f>+N65+Q65</f>
        <v>290868.23064000002</v>
      </c>
    </row>
    <row r="66" spans="1:18" x14ac:dyDescent="0.25">
      <c r="I66" s="15">
        <f>I65/75</f>
        <v>153</v>
      </c>
      <c r="J66" s="15">
        <f>J65/35</f>
        <v>99</v>
      </c>
    </row>
  </sheetData>
  <autoFilter ref="A3:Q63" xr:uid="{00000000-0009-0000-0000-000019000000}"/>
  <mergeCells count="2">
    <mergeCell ref="A1:N1"/>
    <mergeCell ref="A2:N2"/>
  </mergeCells>
  <pageMargins left="0.25" right="0.25" top="0.75" bottom="0.75" header="0.3" footer="0.3"/>
  <pageSetup scale="59" fitToHeight="0" orientation="landscape" r:id="rId1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DAFF9-6DA1-4868-BCDF-D89244E57B09}">
  <sheetPr codeName="Hoja37">
    <pageSetUpPr fitToPage="1"/>
  </sheetPr>
  <dimension ref="A1:R66"/>
  <sheetViews>
    <sheetView showGridLines="0" topLeftCell="C9" zoomScaleNormal="100" workbookViewId="0">
      <selection activeCell="I22" sqref="I22:J22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139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t="15.75" hidden="1" thickBot="1" x14ac:dyDescent="0.3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63" si="0">H4+M4</f>
        <v>0</v>
      </c>
      <c r="O4" s="81" t="s">
        <v>48</v>
      </c>
      <c r="P4" s="82">
        <f t="shared" ref="P4:P63" si="1">+M4*0.1</f>
        <v>0</v>
      </c>
      <c r="Q4" s="82">
        <f t="shared" ref="Q4:Q63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3" si="3">D5*6</f>
        <v>2519.2799999999997</v>
      </c>
      <c r="F5" s="8">
        <f t="shared" ref="F5:F63" si="4">$D$4</f>
        <v>419.88</v>
      </c>
      <c r="G5" s="9">
        <f t="shared" ref="G5:G63" si="5">E5+F5</f>
        <v>2939.16</v>
      </c>
      <c r="H5" s="37">
        <v>3354.4</v>
      </c>
      <c r="I5" s="10">
        <v>300</v>
      </c>
      <c r="J5" s="10">
        <v>0</v>
      </c>
      <c r="K5" s="11"/>
      <c r="L5" s="19"/>
      <c r="M5" s="13">
        <f>C5-H5-I5+L5-K5-J5</f>
        <v>345.59999999999991</v>
      </c>
      <c r="N5" s="14">
        <f t="shared" si="0"/>
        <v>3700</v>
      </c>
      <c r="O5" s="29" t="s">
        <v>47</v>
      </c>
      <c r="P5" s="33">
        <f t="shared" si="1"/>
        <v>34.559999999999995</v>
      </c>
      <c r="Q5" s="33">
        <f t="shared" si="2"/>
        <v>37.324799999999996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7">
        <v>3477</v>
      </c>
      <c r="I6" s="10">
        <v>225</v>
      </c>
      <c r="J6" s="10">
        <v>0</v>
      </c>
      <c r="K6" s="21">
        <v>2142.86</v>
      </c>
      <c r="L6" s="19">
        <v>16071.38</v>
      </c>
      <c r="M6" s="13">
        <f>C6-H6-I6+L6-K6-J6</f>
        <v>25226.519999999997</v>
      </c>
      <c r="N6" s="14">
        <f>H6+M6</f>
        <v>28703.519999999997</v>
      </c>
      <c r="O6" s="30" t="s">
        <v>118</v>
      </c>
      <c r="P6" s="33">
        <f t="shared" si="1"/>
        <v>2522.652</v>
      </c>
      <c r="Q6" s="33">
        <f t="shared" si="2"/>
        <v>2724.4641600000004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7">
        <v>3354.4</v>
      </c>
      <c r="I7" s="10">
        <v>225</v>
      </c>
      <c r="J7" s="10">
        <v>140</v>
      </c>
      <c r="K7" s="21"/>
      <c r="L7" s="19"/>
      <c r="M7" s="13">
        <f t="shared" ref="M7:M57" si="6">C7-H7-I7+L7-K7-J7</f>
        <v>1280.5999999999999</v>
      </c>
      <c r="N7" s="14">
        <f t="shared" si="0"/>
        <v>4635</v>
      </c>
      <c r="O7" s="36" t="s">
        <v>118</v>
      </c>
      <c r="P7" s="33">
        <f t="shared" si="1"/>
        <v>128.06</v>
      </c>
      <c r="Q7" s="33">
        <f t="shared" si="2"/>
        <v>138.3048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225</v>
      </c>
      <c r="J8" s="10">
        <v>70</v>
      </c>
      <c r="K8" s="11"/>
      <c r="L8" s="12"/>
      <c r="M8" s="13">
        <f t="shared" si="6"/>
        <v>850.59999999999991</v>
      </c>
      <c r="N8" s="14">
        <f t="shared" si="0"/>
        <v>4205</v>
      </c>
      <c r="O8" s="30" t="s">
        <v>118</v>
      </c>
      <c r="P8" s="33">
        <f t="shared" si="1"/>
        <v>85.06</v>
      </c>
      <c r="Q8" s="33">
        <f t="shared" si="2"/>
        <v>91.864800000000002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3354.4</v>
      </c>
      <c r="I9" s="10">
        <v>225</v>
      </c>
      <c r="J9" s="10">
        <v>245</v>
      </c>
      <c r="K9" s="21"/>
      <c r="L9" s="12"/>
      <c r="M9" s="22">
        <f t="shared" si="6"/>
        <v>175.59999999999991</v>
      </c>
      <c r="N9" s="14">
        <f t="shared" si="0"/>
        <v>3530</v>
      </c>
      <c r="O9" s="30" t="s">
        <v>47</v>
      </c>
      <c r="P9" s="33">
        <f t="shared" si="1"/>
        <v>17.559999999999992</v>
      </c>
      <c r="Q9" s="33">
        <f t="shared" si="2"/>
        <v>18.964799999999993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3354.2</v>
      </c>
      <c r="I10" s="10">
        <v>0</v>
      </c>
      <c r="J10" s="10">
        <v>0</v>
      </c>
      <c r="K10" s="100"/>
      <c r="L10" s="19"/>
      <c r="M10" s="22">
        <f t="shared" si="6"/>
        <v>645.80000000000018</v>
      </c>
      <c r="N10" s="14">
        <f t="shared" si="0"/>
        <v>4000</v>
      </c>
      <c r="O10" s="30" t="s">
        <v>49</v>
      </c>
      <c r="P10" s="33">
        <f t="shared" si="1"/>
        <v>64.580000000000027</v>
      </c>
      <c r="Q10" s="33">
        <f t="shared" si="2"/>
        <v>69.746400000000037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4834.2</v>
      </c>
      <c r="I11" s="10">
        <v>0</v>
      </c>
      <c r="J11" s="10">
        <v>0</v>
      </c>
      <c r="K11" s="11">
        <v>440</v>
      </c>
      <c r="L11" s="12">
        <v>4250</v>
      </c>
      <c r="M11" s="13">
        <f t="shared" si="6"/>
        <v>5975.8</v>
      </c>
      <c r="N11" s="14">
        <f t="shared" si="0"/>
        <v>10810</v>
      </c>
      <c r="O11" s="30" t="s">
        <v>118</v>
      </c>
      <c r="P11" s="33">
        <f t="shared" si="1"/>
        <v>597.58000000000004</v>
      </c>
      <c r="Q11" s="33">
        <f t="shared" si="2"/>
        <v>645.38640000000009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3354.2</v>
      </c>
      <c r="I12" s="10">
        <v>150</v>
      </c>
      <c r="J12" s="10">
        <v>70</v>
      </c>
      <c r="K12" s="11"/>
      <c r="L12" s="12"/>
      <c r="M12" s="13">
        <f t="shared" si="6"/>
        <v>1425.8000000000002</v>
      </c>
      <c r="N12" s="14">
        <f t="shared" si="0"/>
        <v>4780</v>
      </c>
      <c r="O12" s="30">
        <v>0.03</v>
      </c>
      <c r="P12" s="33">
        <f t="shared" si="1"/>
        <v>142.58000000000001</v>
      </c>
      <c r="Q12" s="33">
        <f t="shared" si="2"/>
        <v>153.98640000000003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3354.2</v>
      </c>
      <c r="I13" s="10">
        <v>75</v>
      </c>
      <c r="J13" s="10">
        <v>35</v>
      </c>
      <c r="K13" s="21"/>
      <c r="L13" s="19"/>
      <c r="M13" s="13">
        <f t="shared" si="6"/>
        <v>35.800000000000182</v>
      </c>
      <c r="N13" s="14">
        <f t="shared" si="0"/>
        <v>3390</v>
      </c>
      <c r="O13" s="30">
        <v>0.03</v>
      </c>
      <c r="P13" s="33">
        <f t="shared" si="1"/>
        <v>3.5800000000000183</v>
      </c>
      <c r="Q13" s="33">
        <f t="shared" si="2"/>
        <v>3.86640000000002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7">
        <v>3120.4</v>
      </c>
      <c r="I14" s="10">
        <v>75</v>
      </c>
      <c r="J14" s="10">
        <v>140</v>
      </c>
      <c r="K14" s="21">
        <v>293.92</v>
      </c>
      <c r="L14" s="19"/>
      <c r="M14" s="22">
        <f>C14-H14-I14+L14-K14-J14</f>
        <v>370.67999999999989</v>
      </c>
      <c r="N14" s="14">
        <f t="shared" si="0"/>
        <v>3491.08</v>
      </c>
      <c r="O14" s="36" t="s">
        <v>50</v>
      </c>
      <c r="P14" s="33">
        <f t="shared" si="1"/>
        <v>37.067999999999991</v>
      </c>
      <c r="Q14" s="33">
        <f t="shared" si="2"/>
        <v>40.033439999999992</v>
      </c>
    </row>
    <row r="15" spans="1:17" x14ac:dyDescent="0.25">
      <c r="A15" s="5">
        <v>150</v>
      </c>
      <c r="B15" s="6" t="s">
        <v>24</v>
      </c>
      <c r="C15" s="7">
        <v>5000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3354.2</v>
      </c>
      <c r="I15" s="10">
        <v>0</v>
      </c>
      <c r="J15" s="10">
        <v>0</v>
      </c>
      <c r="K15" s="21"/>
      <c r="L15" s="19"/>
      <c r="M15" s="13">
        <f t="shared" si="6"/>
        <v>1645.8000000000002</v>
      </c>
      <c r="N15" s="14">
        <f t="shared" si="0"/>
        <v>5000</v>
      </c>
      <c r="O15" s="30" t="s">
        <v>47</v>
      </c>
      <c r="P15" s="33">
        <f t="shared" si="1"/>
        <v>164.58000000000004</v>
      </c>
      <c r="Q15" s="33">
        <f t="shared" si="2"/>
        <v>177.74640000000005</v>
      </c>
    </row>
    <row r="16" spans="1:17" x14ac:dyDescent="0.25">
      <c r="A16" s="5">
        <v>752</v>
      </c>
      <c r="B16" s="6" t="s">
        <v>25</v>
      </c>
      <c r="C16" s="7">
        <v>4500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3354.4</v>
      </c>
      <c r="I16" s="10">
        <v>0</v>
      </c>
      <c r="J16" s="10">
        <v>35</v>
      </c>
      <c r="K16" s="21"/>
      <c r="L16" s="12"/>
      <c r="M16" s="13">
        <f>C16-H16-I16+L16-K16-J16</f>
        <v>1110.5999999999999</v>
      </c>
      <c r="N16" s="14">
        <f t="shared" si="0"/>
        <v>4465</v>
      </c>
      <c r="O16" s="29">
        <v>0.03</v>
      </c>
      <c r="P16" s="33">
        <f t="shared" si="1"/>
        <v>111.06</v>
      </c>
      <c r="Q16" s="33">
        <f t="shared" si="2"/>
        <v>119.94480000000001</v>
      </c>
    </row>
    <row r="17" spans="1:17" s="55" customFormat="1" x14ac:dyDescent="0.25">
      <c r="A17" s="5">
        <v>162</v>
      </c>
      <c r="B17" s="6" t="s">
        <v>27</v>
      </c>
      <c r="C17" s="7">
        <v>4500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3354.2</v>
      </c>
      <c r="I17" s="10">
        <v>150</v>
      </c>
      <c r="J17" s="10">
        <v>0</v>
      </c>
      <c r="K17" s="21"/>
      <c r="L17" s="19"/>
      <c r="M17" s="13">
        <f t="shared" si="6"/>
        <v>995.80000000000018</v>
      </c>
      <c r="N17" s="14">
        <f t="shared" si="0"/>
        <v>4350</v>
      </c>
      <c r="O17" s="29">
        <v>0.03</v>
      </c>
      <c r="P17" s="33">
        <f t="shared" si="1"/>
        <v>99.580000000000027</v>
      </c>
      <c r="Q17" s="33">
        <f t="shared" si="2"/>
        <v>107.54640000000003</v>
      </c>
    </row>
    <row r="18" spans="1:17" s="55" customFormat="1" x14ac:dyDescent="0.25">
      <c r="A18" s="5">
        <v>174</v>
      </c>
      <c r="B18" s="6" t="s">
        <v>28</v>
      </c>
      <c r="C18" s="7">
        <v>10000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2361</v>
      </c>
      <c r="I18" s="10">
        <v>0</v>
      </c>
      <c r="J18" s="10">
        <v>0</v>
      </c>
      <c r="K18" s="16">
        <f>908.03+1697.53</f>
        <v>2605.56</v>
      </c>
      <c r="L18" s="12"/>
      <c r="M18" s="13">
        <f t="shared" si="6"/>
        <v>5033.4400000000005</v>
      </c>
      <c r="N18" s="14">
        <f t="shared" si="0"/>
        <v>7394.4400000000005</v>
      </c>
      <c r="O18" s="29" t="s">
        <v>50</v>
      </c>
      <c r="P18" s="33">
        <f t="shared" si="1"/>
        <v>503.34400000000005</v>
      </c>
      <c r="Q18" s="33">
        <f t="shared" si="2"/>
        <v>543.61152000000004</v>
      </c>
    </row>
    <row r="19" spans="1:17" s="55" customFormat="1" x14ac:dyDescent="0.25">
      <c r="A19" s="5">
        <v>184</v>
      </c>
      <c r="B19" s="6" t="s">
        <v>29</v>
      </c>
      <c r="C19" s="7">
        <v>8000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3354.4</v>
      </c>
      <c r="I19" s="10">
        <v>300</v>
      </c>
      <c r="J19" s="10">
        <v>140</v>
      </c>
      <c r="K19" s="21"/>
      <c r="L19" s="19"/>
      <c r="M19" s="13">
        <f t="shared" si="6"/>
        <v>4205.6000000000004</v>
      </c>
      <c r="N19" s="14">
        <f t="shared" si="0"/>
        <v>7560</v>
      </c>
      <c r="O19" s="29">
        <v>0.03</v>
      </c>
      <c r="P19" s="33">
        <f t="shared" si="1"/>
        <v>420.56000000000006</v>
      </c>
      <c r="Q19" s="33">
        <f t="shared" si="2"/>
        <v>454.20480000000009</v>
      </c>
    </row>
    <row r="20" spans="1:17" s="55" customFormat="1" ht="13.5" customHeight="1" x14ac:dyDescent="0.25">
      <c r="A20" s="5">
        <v>204</v>
      </c>
      <c r="B20" s="6" t="s">
        <v>33</v>
      </c>
      <c r="C20" s="7">
        <v>5000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3354.4</v>
      </c>
      <c r="I20" s="10">
        <v>150</v>
      </c>
      <c r="J20" s="10">
        <v>35</v>
      </c>
      <c r="K20" s="11"/>
      <c r="L20" s="19"/>
      <c r="M20" s="13">
        <f t="shared" si="6"/>
        <v>1460.6</v>
      </c>
      <c r="N20" s="14">
        <f t="shared" si="0"/>
        <v>4815</v>
      </c>
      <c r="O20" s="29" t="s">
        <v>118</v>
      </c>
      <c r="P20" s="33">
        <f t="shared" si="1"/>
        <v>146.06</v>
      </c>
      <c r="Q20" s="33">
        <f t="shared" si="2"/>
        <v>157.74480000000003</v>
      </c>
    </row>
    <row r="21" spans="1:17" s="55" customFormat="1" x14ac:dyDescent="0.25">
      <c r="A21" s="5">
        <v>213</v>
      </c>
      <c r="B21" s="6" t="s">
        <v>34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>
        <v>0</v>
      </c>
      <c r="J21" s="10">
        <v>0</v>
      </c>
      <c r="K21" s="11"/>
      <c r="L21" s="12"/>
      <c r="M21" s="13">
        <f t="shared" si="6"/>
        <v>645.59999999999991</v>
      </c>
      <c r="N21" s="14">
        <f t="shared" si="0"/>
        <v>4000</v>
      </c>
      <c r="O21" s="29" t="s">
        <v>50</v>
      </c>
      <c r="P21" s="33">
        <f t="shared" si="1"/>
        <v>64.559999999999988</v>
      </c>
      <c r="Q21" s="33">
        <f t="shared" si="2"/>
        <v>69.724799999999988</v>
      </c>
    </row>
    <row r="22" spans="1:17" s="55" customFormat="1" x14ac:dyDescent="0.25">
      <c r="A22" s="5">
        <v>215</v>
      </c>
      <c r="B22" s="6" t="s">
        <v>35</v>
      </c>
      <c r="C22" s="7">
        <v>5000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150</v>
      </c>
      <c r="J22" s="10">
        <v>35</v>
      </c>
      <c r="K22" s="21"/>
      <c r="L22" s="19"/>
      <c r="M22" s="13">
        <f t="shared" si="6"/>
        <v>1460.6</v>
      </c>
      <c r="N22" s="14">
        <f t="shared" si="0"/>
        <v>4815</v>
      </c>
      <c r="O22" s="29" t="s">
        <v>118</v>
      </c>
      <c r="P22" s="33">
        <f t="shared" si="1"/>
        <v>146.06</v>
      </c>
      <c r="Q22" s="33">
        <f t="shared" si="2"/>
        <v>157.74480000000003</v>
      </c>
    </row>
    <row r="23" spans="1:17" s="55" customFormat="1" x14ac:dyDescent="0.25">
      <c r="A23" s="5">
        <v>218</v>
      </c>
      <c r="B23" s="6" t="s">
        <v>36</v>
      </c>
      <c r="C23" s="7">
        <v>3500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3354.2</v>
      </c>
      <c r="I23" s="10">
        <v>0</v>
      </c>
      <c r="J23" s="10">
        <v>0</v>
      </c>
      <c r="K23" s="12"/>
      <c r="L23" s="12"/>
      <c r="M23" s="13">
        <f t="shared" si="6"/>
        <v>145.80000000000018</v>
      </c>
      <c r="N23" s="14">
        <f t="shared" si="0"/>
        <v>3500</v>
      </c>
      <c r="O23" s="29" t="s">
        <v>49</v>
      </c>
      <c r="P23" s="33">
        <f t="shared" si="1"/>
        <v>14.58000000000002</v>
      </c>
      <c r="Q23" s="33">
        <f t="shared" si="2"/>
        <v>15.746400000000023</v>
      </c>
    </row>
    <row r="24" spans="1:17" s="55" customFormat="1" x14ac:dyDescent="0.25">
      <c r="A24" s="36">
        <v>220</v>
      </c>
      <c r="B24" s="6" t="s">
        <v>37</v>
      </c>
      <c r="C24" s="7">
        <v>4000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2744</v>
      </c>
      <c r="I24" s="10">
        <v>75</v>
      </c>
      <c r="J24" s="10">
        <v>175</v>
      </c>
      <c r="K24" s="16">
        <v>610.33000000000004</v>
      </c>
      <c r="L24" s="12"/>
      <c r="M24" s="22">
        <f>C24-H24-I24+L24-K24-J24</f>
        <v>395.66999999999996</v>
      </c>
      <c r="N24" s="14">
        <f t="shared" si="0"/>
        <v>3139.67</v>
      </c>
      <c r="O24" s="36">
        <v>0.03</v>
      </c>
      <c r="P24" s="33">
        <f t="shared" si="1"/>
        <v>39.567</v>
      </c>
      <c r="Q24" s="33">
        <f t="shared" si="2"/>
        <v>42.73236</v>
      </c>
    </row>
    <row r="25" spans="1:17" s="55" customFormat="1" x14ac:dyDescent="0.25">
      <c r="A25" s="5">
        <v>221</v>
      </c>
      <c r="B25" s="6" t="s">
        <v>38</v>
      </c>
      <c r="C25" s="7">
        <v>5000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7">
        <v>3354.2</v>
      </c>
      <c r="I25" s="10">
        <v>300</v>
      </c>
      <c r="J25" s="10">
        <v>0</v>
      </c>
      <c r="K25" s="21"/>
      <c r="L25" s="12"/>
      <c r="M25" s="13">
        <f t="shared" si="6"/>
        <v>1345.8000000000002</v>
      </c>
      <c r="N25" s="14">
        <f t="shared" si="0"/>
        <v>4700</v>
      </c>
      <c r="O25" s="29">
        <v>0.03</v>
      </c>
      <c r="P25" s="33">
        <f t="shared" si="1"/>
        <v>134.58000000000001</v>
      </c>
      <c r="Q25" s="33">
        <f t="shared" si="2"/>
        <v>145.34640000000002</v>
      </c>
    </row>
    <row r="26" spans="1:17" s="55" customFormat="1" x14ac:dyDescent="0.25">
      <c r="A26" s="5">
        <v>222</v>
      </c>
      <c r="B26" s="6" t="s">
        <v>39</v>
      </c>
      <c r="C26" s="7">
        <v>8000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2681.2</v>
      </c>
      <c r="I26" s="10">
        <v>300</v>
      </c>
      <c r="J26" s="10">
        <v>140</v>
      </c>
      <c r="K26" s="16">
        <v>1538.46</v>
      </c>
      <c r="L26" s="19"/>
      <c r="M26" s="13">
        <f t="shared" si="6"/>
        <v>3340.34</v>
      </c>
      <c r="N26" s="14">
        <f t="shared" si="0"/>
        <v>6021.54</v>
      </c>
      <c r="O26" s="29" t="s">
        <v>118</v>
      </c>
      <c r="P26" s="33">
        <f t="shared" si="1"/>
        <v>334.03400000000005</v>
      </c>
      <c r="Q26" s="33">
        <f t="shared" si="2"/>
        <v>360.75672000000009</v>
      </c>
    </row>
    <row r="27" spans="1:17" s="55" customFormat="1" x14ac:dyDescent="0.25">
      <c r="A27" s="5">
        <v>227</v>
      </c>
      <c r="B27" s="6" t="s">
        <v>41</v>
      </c>
      <c r="C27" s="7">
        <v>6000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3354.2</v>
      </c>
      <c r="I27" s="10">
        <v>300</v>
      </c>
      <c r="J27" s="10">
        <v>70</v>
      </c>
      <c r="K27" s="21"/>
      <c r="L27" s="12"/>
      <c r="M27" s="13">
        <f t="shared" si="6"/>
        <v>2275.8000000000002</v>
      </c>
      <c r="N27" s="14">
        <f t="shared" si="0"/>
        <v>5630</v>
      </c>
      <c r="O27" s="29" t="s">
        <v>118</v>
      </c>
      <c r="P27" s="33">
        <f t="shared" si="1"/>
        <v>227.58000000000004</v>
      </c>
      <c r="Q27" s="33">
        <f t="shared" si="2"/>
        <v>245.78640000000007</v>
      </c>
    </row>
    <row r="28" spans="1:17" s="55" customFormat="1" x14ac:dyDescent="0.25">
      <c r="A28" s="5">
        <v>233</v>
      </c>
      <c r="B28" s="6" t="s">
        <v>42</v>
      </c>
      <c r="C28" s="7">
        <v>6250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3354.2</v>
      </c>
      <c r="I28" s="10">
        <v>300</v>
      </c>
      <c r="J28" s="10">
        <v>70</v>
      </c>
      <c r="K28" s="21"/>
      <c r="L28" s="19"/>
      <c r="M28" s="13">
        <f t="shared" si="6"/>
        <v>2525.8000000000002</v>
      </c>
      <c r="N28" s="14">
        <f t="shared" si="0"/>
        <v>5880</v>
      </c>
      <c r="O28" s="31" t="s">
        <v>118</v>
      </c>
      <c r="P28" s="33">
        <f t="shared" si="1"/>
        <v>252.58000000000004</v>
      </c>
      <c r="Q28" s="33">
        <f t="shared" si="2"/>
        <v>272.78640000000007</v>
      </c>
    </row>
    <row r="29" spans="1:17" s="55" customFormat="1" x14ac:dyDescent="0.25">
      <c r="A29" s="5">
        <v>244</v>
      </c>
      <c r="B29" s="6" t="s">
        <v>44</v>
      </c>
      <c r="C29" s="7">
        <v>5000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0</v>
      </c>
      <c r="J29" s="10">
        <v>140</v>
      </c>
      <c r="K29" s="21"/>
      <c r="L29" s="12">
        <v>293.92</v>
      </c>
      <c r="M29" s="13">
        <f>C29-H29-I29+L29-K29-J29</f>
        <v>1799.52</v>
      </c>
      <c r="N29" s="14">
        <f t="shared" si="0"/>
        <v>5153.92</v>
      </c>
      <c r="O29" s="29">
        <v>0.03</v>
      </c>
      <c r="P29" s="33">
        <f t="shared" si="1"/>
        <v>179.952</v>
      </c>
      <c r="Q29" s="33">
        <f t="shared" si="2"/>
        <v>194.34816000000001</v>
      </c>
    </row>
    <row r="30" spans="1:17" s="55" customFormat="1" x14ac:dyDescent="0.25">
      <c r="A30" s="5">
        <v>245</v>
      </c>
      <c r="B30" s="6" t="s">
        <v>45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3354.2</v>
      </c>
      <c r="I30" s="10">
        <v>0</v>
      </c>
      <c r="J30" s="10">
        <v>0</v>
      </c>
      <c r="K30" s="11"/>
      <c r="L30" s="19"/>
      <c r="M30" s="13">
        <f t="shared" si="6"/>
        <v>1645.8000000000002</v>
      </c>
      <c r="N30" s="14">
        <f>H30+M30</f>
        <v>5000</v>
      </c>
      <c r="O30" s="34" t="s">
        <v>47</v>
      </c>
      <c r="P30" s="33">
        <f t="shared" si="1"/>
        <v>164.58000000000004</v>
      </c>
      <c r="Q30" s="33">
        <f t="shared" si="2"/>
        <v>177.74640000000005</v>
      </c>
    </row>
    <row r="31" spans="1:17" s="55" customFormat="1" x14ac:dyDescent="0.25">
      <c r="A31" s="5">
        <v>252</v>
      </c>
      <c r="B31" s="6" t="s">
        <v>53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3354.2</v>
      </c>
      <c r="I31" s="10">
        <v>75</v>
      </c>
      <c r="J31" s="10">
        <v>35</v>
      </c>
      <c r="K31" s="21"/>
      <c r="L31" s="12"/>
      <c r="M31" s="22">
        <f>C31-H31-I31+L31-K31-J31</f>
        <v>1535.8000000000002</v>
      </c>
      <c r="N31" s="14">
        <f t="shared" si="0"/>
        <v>4890</v>
      </c>
      <c r="O31" s="5">
        <v>0.03</v>
      </c>
      <c r="P31" s="33">
        <f t="shared" si="1"/>
        <v>153.58000000000004</v>
      </c>
      <c r="Q31" s="33">
        <f t="shared" si="2"/>
        <v>165.86640000000006</v>
      </c>
    </row>
    <row r="32" spans="1:17" s="55" customFormat="1" x14ac:dyDescent="0.25">
      <c r="A32" s="5">
        <v>260</v>
      </c>
      <c r="B32" s="6" t="s">
        <v>54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150</v>
      </c>
      <c r="J32" s="10">
        <v>35</v>
      </c>
      <c r="K32" s="11"/>
      <c r="L32" s="19"/>
      <c r="M32" s="13">
        <f t="shared" si="6"/>
        <v>1460.6</v>
      </c>
      <c r="N32" s="14">
        <f t="shared" si="0"/>
        <v>4815</v>
      </c>
      <c r="O32" s="5" t="s">
        <v>48</v>
      </c>
      <c r="P32" s="33">
        <f t="shared" si="1"/>
        <v>146.06</v>
      </c>
      <c r="Q32" s="33">
        <f t="shared" si="2"/>
        <v>157.74480000000003</v>
      </c>
    </row>
    <row r="33" spans="1:17" s="55" customFormat="1" x14ac:dyDescent="0.25">
      <c r="A33" s="5">
        <v>261</v>
      </c>
      <c r="B33" s="6" t="s">
        <v>55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2356</v>
      </c>
      <c r="I33" s="10">
        <v>225</v>
      </c>
      <c r="J33" s="10">
        <v>140</v>
      </c>
      <c r="K33" s="16">
        <v>913.35</v>
      </c>
      <c r="L33" s="19"/>
      <c r="M33" s="13">
        <f t="shared" si="6"/>
        <v>365.65</v>
      </c>
      <c r="N33" s="14">
        <f t="shared" si="0"/>
        <v>2721.65</v>
      </c>
      <c r="O33" s="5">
        <v>0.03</v>
      </c>
      <c r="P33" s="33">
        <f t="shared" si="1"/>
        <v>36.564999999999998</v>
      </c>
      <c r="Q33" s="33">
        <f t="shared" si="2"/>
        <v>39.490200000000002</v>
      </c>
    </row>
    <row r="34" spans="1:17" s="55" customFormat="1" x14ac:dyDescent="0.25">
      <c r="A34" s="5">
        <v>267</v>
      </c>
      <c r="B34" s="6" t="s">
        <v>56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2372.4</v>
      </c>
      <c r="I34" s="10">
        <v>150</v>
      </c>
      <c r="J34" s="10">
        <v>140</v>
      </c>
      <c r="K34" s="16">
        <f>428.85+587.84</f>
        <v>1016.69</v>
      </c>
      <c r="L34" s="12"/>
      <c r="M34" s="13">
        <f t="shared" si="6"/>
        <v>1320.9099999999999</v>
      </c>
      <c r="N34" s="14">
        <f t="shared" si="0"/>
        <v>3693.31</v>
      </c>
      <c r="O34" s="5" t="s">
        <v>47</v>
      </c>
      <c r="P34" s="33">
        <f t="shared" si="1"/>
        <v>132.09099999999998</v>
      </c>
      <c r="Q34" s="33">
        <f t="shared" si="2"/>
        <v>142.65827999999999</v>
      </c>
    </row>
    <row r="35" spans="1:17" s="55" customFormat="1" x14ac:dyDescent="0.25">
      <c r="A35" s="5">
        <v>269</v>
      </c>
      <c r="B35" s="6" t="s">
        <v>58</v>
      </c>
      <c r="C35" s="7">
        <v>7000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3354.4</v>
      </c>
      <c r="I35" s="10">
        <v>225</v>
      </c>
      <c r="J35" s="10">
        <v>35</v>
      </c>
      <c r="K35" s="21"/>
      <c r="L35" s="19"/>
      <c r="M35" s="13">
        <f t="shared" si="6"/>
        <v>3385.6</v>
      </c>
      <c r="N35" s="14">
        <f>H35+M35</f>
        <v>6740</v>
      </c>
      <c r="O35" s="5" t="s">
        <v>118</v>
      </c>
      <c r="P35" s="33">
        <f t="shared" si="1"/>
        <v>338.56</v>
      </c>
      <c r="Q35" s="33">
        <f t="shared" si="2"/>
        <v>365.64480000000003</v>
      </c>
    </row>
    <row r="36" spans="1:17" s="55" customFormat="1" x14ac:dyDescent="0.25">
      <c r="A36" s="5">
        <v>271</v>
      </c>
      <c r="B36" s="6" t="s">
        <v>59</v>
      </c>
      <c r="C36" s="7">
        <v>3500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3060.2</v>
      </c>
      <c r="I36" s="10">
        <v>150</v>
      </c>
      <c r="J36" s="10">
        <v>70</v>
      </c>
      <c r="K36" s="21">
        <v>220</v>
      </c>
      <c r="L36" s="19"/>
      <c r="M36" s="22">
        <f>C36-H36-I36+L36-K36-J36+0.2</f>
        <v>1.819100425848319E-13</v>
      </c>
      <c r="N36" s="14">
        <f t="shared" si="0"/>
        <v>3060.2</v>
      </c>
      <c r="O36" s="5">
        <v>0.03</v>
      </c>
      <c r="P36" s="33">
        <f t="shared" si="1"/>
        <v>1.8191004258483192E-14</v>
      </c>
      <c r="Q36" s="33">
        <f t="shared" si="2"/>
        <v>1.9646284599161848E-14</v>
      </c>
    </row>
    <row r="37" spans="1:17" s="55" customFormat="1" x14ac:dyDescent="0.25">
      <c r="A37" s="5">
        <v>275</v>
      </c>
      <c r="B37" s="6" t="s">
        <v>60</v>
      </c>
      <c r="C37" s="7">
        <v>3375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3354.4</v>
      </c>
      <c r="I37" s="10">
        <v>0</v>
      </c>
      <c r="J37" s="10">
        <v>0</v>
      </c>
      <c r="K37" s="21"/>
      <c r="L37" s="19"/>
      <c r="M37" s="13">
        <f>C37-H37-I37+L37-K37-J37</f>
        <v>20.599999999999909</v>
      </c>
      <c r="N37" s="14">
        <f>H37+M37</f>
        <v>3375</v>
      </c>
      <c r="O37" s="5">
        <v>0.03</v>
      </c>
      <c r="P37" s="33">
        <f>+M37*0.1</f>
        <v>2.0599999999999912</v>
      </c>
      <c r="Q37" s="33">
        <f>+P37*1.08</f>
        <v>2.2247999999999908</v>
      </c>
    </row>
    <row r="38" spans="1:17" s="55" customFormat="1" x14ac:dyDescent="0.25">
      <c r="A38" s="5">
        <v>276</v>
      </c>
      <c r="B38" s="6" t="s">
        <v>61</v>
      </c>
      <c r="C38" s="7">
        <v>5000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0</v>
      </c>
      <c r="I38" s="10">
        <v>0</v>
      </c>
      <c r="J38" s="10">
        <v>0</v>
      </c>
      <c r="K38" s="11">
        <v>5000</v>
      </c>
      <c r="L38" s="19"/>
      <c r="M38" s="13">
        <f>C38-H38-I38+L38-K38-J38</f>
        <v>0</v>
      </c>
      <c r="N38" s="14">
        <f t="shared" si="0"/>
        <v>0</v>
      </c>
      <c r="O38" s="5">
        <v>0.03</v>
      </c>
      <c r="P38" s="33">
        <f t="shared" si="1"/>
        <v>0</v>
      </c>
      <c r="Q38" s="33">
        <f t="shared" si="2"/>
        <v>0</v>
      </c>
    </row>
    <row r="39" spans="1:17" s="55" customFormat="1" x14ac:dyDescent="0.25">
      <c r="A39" s="5">
        <v>279</v>
      </c>
      <c r="B39" s="6" t="s">
        <v>63</v>
      </c>
      <c r="C39" s="7">
        <v>4500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3120.4</v>
      </c>
      <c r="I39" s="10">
        <v>0</v>
      </c>
      <c r="J39" s="10">
        <v>70</v>
      </c>
      <c r="K39" s="21">
        <v>293.92</v>
      </c>
      <c r="L39" s="19"/>
      <c r="M39" s="22">
        <f>C39-H39-I39+L39-K39-J39</f>
        <v>1015.6799999999998</v>
      </c>
      <c r="N39" s="14">
        <f t="shared" si="0"/>
        <v>4136.08</v>
      </c>
      <c r="O39" s="5" t="s">
        <v>118</v>
      </c>
      <c r="P39" s="33">
        <f t="shared" si="1"/>
        <v>101.56799999999998</v>
      </c>
      <c r="Q39" s="33">
        <f t="shared" si="2"/>
        <v>109.69344</v>
      </c>
    </row>
    <row r="40" spans="1:17" s="55" customFormat="1" x14ac:dyDescent="0.25">
      <c r="A40" s="5">
        <v>280</v>
      </c>
      <c r="B40" s="6" t="s">
        <v>64</v>
      </c>
      <c r="C40" s="7">
        <v>5000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3354.4</v>
      </c>
      <c r="I40" s="10">
        <v>0</v>
      </c>
      <c r="J40" s="10">
        <v>0</v>
      </c>
      <c r="K40" s="11"/>
      <c r="L40" s="19"/>
      <c r="M40" s="13">
        <f t="shared" si="6"/>
        <v>1645.6</v>
      </c>
      <c r="N40" s="14">
        <f t="shared" si="0"/>
        <v>5000</v>
      </c>
      <c r="O40" s="5" t="s">
        <v>119</v>
      </c>
      <c r="P40" s="33">
        <f t="shared" si="1"/>
        <v>164.56</v>
      </c>
      <c r="Q40" s="33">
        <f t="shared" si="2"/>
        <v>177.72480000000002</v>
      </c>
    </row>
    <row r="41" spans="1:17" s="55" customFormat="1" x14ac:dyDescent="0.25">
      <c r="A41" s="5">
        <v>281</v>
      </c>
      <c r="B41" s="6" t="s">
        <v>65</v>
      </c>
      <c r="C41" s="7">
        <v>8750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3354.4</v>
      </c>
      <c r="I41" s="10">
        <v>0</v>
      </c>
      <c r="J41" s="10">
        <v>0</v>
      </c>
      <c r="K41" s="11"/>
      <c r="L41" s="19"/>
      <c r="M41" s="13">
        <f t="shared" si="6"/>
        <v>5395.6</v>
      </c>
      <c r="N41" s="14">
        <f t="shared" si="0"/>
        <v>8750</v>
      </c>
      <c r="O41" s="5">
        <v>0.03</v>
      </c>
      <c r="P41" s="33">
        <f t="shared" si="1"/>
        <v>539.56000000000006</v>
      </c>
      <c r="Q41" s="33">
        <f t="shared" si="2"/>
        <v>582.72480000000007</v>
      </c>
    </row>
    <row r="42" spans="1:17" s="55" customFormat="1" x14ac:dyDescent="0.25">
      <c r="A42" s="5">
        <v>283</v>
      </c>
      <c r="B42" s="6" t="s">
        <v>66</v>
      </c>
      <c r="C42" s="7">
        <v>5000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0</v>
      </c>
      <c r="I42" s="10">
        <v>0</v>
      </c>
      <c r="J42" s="10">
        <v>0</v>
      </c>
      <c r="K42" s="21">
        <v>3057.42</v>
      </c>
      <c r="L42" s="12"/>
      <c r="M42" s="13">
        <f t="shared" si="6"/>
        <v>1942.58</v>
      </c>
      <c r="N42" s="14">
        <f t="shared" si="0"/>
        <v>1942.58</v>
      </c>
      <c r="O42" s="5">
        <v>0.03</v>
      </c>
      <c r="P42" s="33">
        <f t="shared" si="1"/>
        <v>194.25800000000001</v>
      </c>
      <c r="Q42" s="33">
        <f t="shared" si="2"/>
        <v>209.79864000000003</v>
      </c>
    </row>
    <row r="43" spans="1:17" s="55" customFormat="1" x14ac:dyDescent="0.25">
      <c r="A43" s="5">
        <v>284</v>
      </c>
      <c r="B43" s="6" t="s">
        <v>67</v>
      </c>
      <c r="C43" s="7">
        <v>4000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75</v>
      </c>
      <c r="J43" s="10">
        <v>0</v>
      </c>
      <c r="K43" s="11"/>
      <c r="L43" s="19"/>
      <c r="M43" s="13">
        <f t="shared" si="6"/>
        <v>570.59999999999991</v>
      </c>
      <c r="N43" s="14">
        <f t="shared" si="0"/>
        <v>3925</v>
      </c>
      <c r="O43" s="5" t="s">
        <v>48</v>
      </c>
      <c r="P43" s="33">
        <f t="shared" si="1"/>
        <v>57.059999999999995</v>
      </c>
      <c r="Q43" s="33">
        <f t="shared" si="2"/>
        <v>61.6248</v>
      </c>
    </row>
    <row r="44" spans="1:17" s="55" customFormat="1" x14ac:dyDescent="0.25">
      <c r="A44" s="5">
        <v>285</v>
      </c>
      <c r="B44" s="6" t="s">
        <v>68</v>
      </c>
      <c r="C44" s="7">
        <v>4000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3120.2</v>
      </c>
      <c r="I44" s="10">
        <v>75</v>
      </c>
      <c r="J44" s="10">
        <v>35</v>
      </c>
      <c r="K44" s="21">
        <v>293.92</v>
      </c>
      <c r="L44" s="19"/>
      <c r="M44" s="13">
        <f>C44-H44-I44+L44-K44-J44</f>
        <v>475.88000000000017</v>
      </c>
      <c r="N44" s="14">
        <f t="shared" si="0"/>
        <v>3596.08</v>
      </c>
      <c r="O44" s="5" t="s">
        <v>48</v>
      </c>
      <c r="P44" s="33">
        <f t="shared" si="1"/>
        <v>47.588000000000022</v>
      </c>
      <c r="Q44" s="33">
        <f t="shared" si="2"/>
        <v>51.39504000000003</v>
      </c>
    </row>
    <row r="45" spans="1:17" s="55" customFormat="1" x14ac:dyDescent="0.25">
      <c r="A45" s="5">
        <v>286</v>
      </c>
      <c r="B45" s="6" t="s">
        <v>69</v>
      </c>
      <c r="C45" s="7">
        <v>4000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3354.2</v>
      </c>
      <c r="I45" s="10">
        <v>300</v>
      </c>
      <c r="J45" s="10">
        <v>0</v>
      </c>
      <c r="K45" s="11"/>
      <c r="L45" s="19"/>
      <c r="M45" s="13">
        <f t="shared" si="6"/>
        <v>345.80000000000018</v>
      </c>
      <c r="N45" s="14">
        <f t="shared" si="0"/>
        <v>3700</v>
      </c>
      <c r="O45" s="5" t="s">
        <v>118</v>
      </c>
      <c r="P45" s="33">
        <f t="shared" si="1"/>
        <v>34.58000000000002</v>
      </c>
      <c r="Q45" s="33">
        <f t="shared" si="2"/>
        <v>37.346400000000024</v>
      </c>
    </row>
    <row r="46" spans="1:17" s="55" customFormat="1" x14ac:dyDescent="0.25">
      <c r="A46" s="5">
        <v>287</v>
      </c>
      <c r="B46" s="6" t="s">
        <v>72</v>
      </c>
      <c r="C46" s="7">
        <v>5000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3120.4</v>
      </c>
      <c r="I46" s="10">
        <v>300</v>
      </c>
      <c r="J46" s="10">
        <v>105</v>
      </c>
      <c r="K46" s="21">
        <v>293.92</v>
      </c>
      <c r="L46" s="19"/>
      <c r="M46" s="13">
        <f>C46-H46-I46+L46-K46-J46</f>
        <v>1180.6799999999998</v>
      </c>
      <c r="N46" s="14">
        <f t="shared" si="0"/>
        <v>4301.08</v>
      </c>
      <c r="O46" s="5" t="s">
        <v>118</v>
      </c>
      <c r="P46" s="33">
        <f t="shared" si="1"/>
        <v>118.06799999999998</v>
      </c>
      <c r="Q46" s="33">
        <f t="shared" si="2"/>
        <v>127.51343999999999</v>
      </c>
    </row>
    <row r="47" spans="1:17" s="55" customFormat="1" x14ac:dyDescent="0.25">
      <c r="A47" s="5">
        <v>288</v>
      </c>
      <c r="B47" s="6" t="s">
        <v>73</v>
      </c>
      <c r="C47" s="7">
        <v>3500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>
        <v>0</v>
      </c>
      <c r="J47" s="10">
        <v>0</v>
      </c>
      <c r="K47" s="11"/>
      <c r="L47" s="19"/>
      <c r="M47" s="13">
        <f>C47-H47-I47+L47-K47-J47</f>
        <v>145.59999999999991</v>
      </c>
      <c r="N47" s="14">
        <f t="shared" si="0"/>
        <v>3500</v>
      </c>
      <c r="O47" s="5">
        <v>0.03</v>
      </c>
      <c r="P47" s="33">
        <f t="shared" si="1"/>
        <v>14.559999999999992</v>
      </c>
      <c r="Q47" s="33">
        <f t="shared" si="2"/>
        <v>15.724799999999991</v>
      </c>
    </row>
    <row r="48" spans="1:17" x14ac:dyDescent="0.25">
      <c r="A48" s="5">
        <v>289</v>
      </c>
      <c r="B48" s="6" t="s">
        <v>74</v>
      </c>
      <c r="C48" s="7">
        <v>3500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>
        <v>0</v>
      </c>
      <c r="J48" s="10">
        <v>0</v>
      </c>
      <c r="K48" s="11"/>
      <c r="L48" s="19">
        <f>1500+1500</f>
        <v>3000</v>
      </c>
      <c r="M48" s="13">
        <f t="shared" si="6"/>
        <v>3145.6</v>
      </c>
      <c r="N48" s="14">
        <f t="shared" si="0"/>
        <v>6500</v>
      </c>
      <c r="O48" s="5">
        <v>0.03</v>
      </c>
      <c r="P48" s="33">
        <f t="shared" si="1"/>
        <v>314.56</v>
      </c>
      <c r="Q48" s="33">
        <f t="shared" si="2"/>
        <v>339.72480000000002</v>
      </c>
    </row>
    <row r="49" spans="1:17" x14ac:dyDescent="0.25">
      <c r="A49" s="5">
        <v>291</v>
      </c>
      <c r="B49" s="6" t="s">
        <v>78</v>
      </c>
      <c r="C49" s="7">
        <v>4250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>
        <v>0</v>
      </c>
      <c r="J49" s="10">
        <v>105</v>
      </c>
      <c r="K49" s="11"/>
      <c r="L49" s="19"/>
      <c r="M49" s="13">
        <f t="shared" si="6"/>
        <v>790.80000000000018</v>
      </c>
      <c r="N49" s="14">
        <f t="shared" si="0"/>
        <v>4145</v>
      </c>
      <c r="O49" s="5">
        <v>0.03</v>
      </c>
      <c r="P49" s="33">
        <f t="shared" si="1"/>
        <v>79.080000000000027</v>
      </c>
      <c r="Q49" s="33">
        <f t="shared" si="2"/>
        <v>85.406400000000033</v>
      </c>
    </row>
    <row r="50" spans="1:17" x14ac:dyDescent="0.25">
      <c r="A50" s="5">
        <v>293</v>
      </c>
      <c r="B50" s="6" t="s">
        <v>89</v>
      </c>
      <c r="C50" s="7">
        <v>4000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3354.2</v>
      </c>
      <c r="I50" s="10">
        <v>150</v>
      </c>
      <c r="J50" s="10">
        <v>140</v>
      </c>
      <c r="K50" s="11"/>
      <c r="L50" s="12"/>
      <c r="M50" s="13">
        <f t="shared" si="6"/>
        <v>355.80000000000018</v>
      </c>
      <c r="N50" s="14">
        <f t="shared" si="0"/>
        <v>3710</v>
      </c>
      <c r="O50" s="5">
        <v>0.03</v>
      </c>
      <c r="P50" s="33">
        <f t="shared" si="1"/>
        <v>35.58000000000002</v>
      </c>
      <c r="Q50" s="33">
        <f t="shared" si="2"/>
        <v>38.426400000000022</v>
      </c>
    </row>
    <row r="51" spans="1:17" x14ac:dyDescent="0.25">
      <c r="A51" s="5">
        <v>294</v>
      </c>
      <c r="B51" s="6" t="s">
        <v>91</v>
      </c>
      <c r="C51" s="7">
        <v>4000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3296.6</v>
      </c>
      <c r="I51" s="10">
        <v>300</v>
      </c>
      <c r="J51" s="10">
        <v>140</v>
      </c>
      <c r="K51" s="21">
        <v>251.43</v>
      </c>
      <c r="L51" s="12"/>
      <c r="M51" s="13">
        <f t="shared" si="6"/>
        <v>11.970000000000084</v>
      </c>
      <c r="N51" s="14">
        <f t="shared" si="0"/>
        <v>3308.57</v>
      </c>
      <c r="O51" s="5">
        <v>0.03</v>
      </c>
      <c r="P51" s="33">
        <f t="shared" si="1"/>
        <v>1.1970000000000085</v>
      </c>
      <c r="Q51" s="33">
        <f t="shared" si="2"/>
        <v>1.2927600000000092</v>
      </c>
    </row>
    <row r="52" spans="1:17" x14ac:dyDescent="0.25">
      <c r="A52" s="5">
        <v>295</v>
      </c>
      <c r="B52" s="6" t="s">
        <v>104</v>
      </c>
      <c r="C52" s="7">
        <v>5500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3354.2</v>
      </c>
      <c r="I52" s="10">
        <v>300</v>
      </c>
      <c r="J52" s="10">
        <v>105</v>
      </c>
      <c r="K52" s="21"/>
      <c r="L52" s="12"/>
      <c r="M52" s="22">
        <f t="shared" si="6"/>
        <v>1740.8000000000002</v>
      </c>
      <c r="N52" s="14">
        <f t="shared" si="0"/>
        <v>5095</v>
      </c>
      <c r="O52" s="5" t="s">
        <v>118</v>
      </c>
      <c r="P52" s="33">
        <f t="shared" si="1"/>
        <v>174.08000000000004</v>
      </c>
      <c r="Q52" s="33">
        <f t="shared" si="2"/>
        <v>188.00640000000007</v>
      </c>
    </row>
    <row r="53" spans="1:17" x14ac:dyDescent="0.25">
      <c r="A53" s="5">
        <v>298</v>
      </c>
      <c r="B53" s="6" t="s">
        <v>115</v>
      </c>
      <c r="C53" s="7">
        <v>5000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1749.4</v>
      </c>
      <c r="I53" s="10">
        <v>75</v>
      </c>
      <c r="J53" s="10">
        <v>70</v>
      </c>
      <c r="K53" s="16">
        <f>1461.49+314.29</f>
        <v>1775.78</v>
      </c>
      <c r="L53" s="12"/>
      <c r="M53" s="22">
        <f t="shared" si="6"/>
        <v>1329.82</v>
      </c>
      <c r="N53" s="14">
        <f t="shared" si="0"/>
        <v>3079.2200000000003</v>
      </c>
      <c r="O53" s="5">
        <v>0.03</v>
      </c>
      <c r="P53" s="33">
        <f t="shared" si="1"/>
        <v>132.982</v>
      </c>
      <c r="Q53" s="33">
        <f t="shared" si="2"/>
        <v>143.62056000000001</v>
      </c>
    </row>
    <row r="54" spans="1:17" x14ac:dyDescent="0.25">
      <c r="A54" s="5">
        <v>299</v>
      </c>
      <c r="B54" s="6" t="s">
        <v>116</v>
      </c>
      <c r="C54" s="7">
        <v>4000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3354.2</v>
      </c>
      <c r="I54" s="10">
        <v>300</v>
      </c>
      <c r="J54" s="10">
        <v>140</v>
      </c>
      <c r="K54" s="11"/>
      <c r="L54" s="12"/>
      <c r="M54" s="22">
        <f>C54-H54-I54+L54-K54-J54</f>
        <v>205.80000000000018</v>
      </c>
      <c r="N54" s="14">
        <f t="shared" si="0"/>
        <v>3560</v>
      </c>
      <c r="O54" s="5">
        <v>0.03</v>
      </c>
      <c r="P54" s="33">
        <f t="shared" si="1"/>
        <v>20.58000000000002</v>
      </c>
      <c r="Q54" s="33">
        <f t="shared" si="2"/>
        <v>22.226400000000023</v>
      </c>
    </row>
    <row r="55" spans="1:17" x14ac:dyDescent="0.25">
      <c r="A55" s="5">
        <v>300</v>
      </c>
      <c r="B55" s="6" t="s">
        <v>121</v>
      </c>
      <c r="C55" s="7">
        <v>6250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3354.2</v>
      </c>
      <c r="I55" s="10">
        <v>0</v>
      </c>
      <c r="J55" s="10">
        <v>0</v>
      </c>
      <c r="K55" s="11"/>
      <c r="L55" s="12"/>
      <c r="M55" s="22">
        <f t="shared" si="6"/>
        <v>2895.8</v>
      </c>
      <c r="N55" s="14">
        <f t="shared" si="0"/>
        <v>6250</v>
      </c>
      <c r="O55" s="5">
        <v>0.03</v>
      </c>
      <c r="P55" s="33">
        <f t="shared" si="1"/>
        <v>289.58000000000004</v>
      </c>
      <c r="Q55" s="33">
        <f t="shared" si="2"/>
        <v>312.74640000000005</v>
      </c>
    </row>
    <row r="56" spans="1:17" x14ac:dyDescent="0.25">
      <c r="A56" s="5">
        <v>301</v>
      </c>
      <c r="B56" s="6" t="s">
        <v>124</v>
      </c>
      <c r="C56" s="7">
        <v>5000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3354.2</v>
      </c>
      <c r="I56" s="10">
        <v>0</v>
      </c>
      <c r="J56" s="10">
        <v>0</v>
      </c>
      <c r="K56" s="11"/>
      <c r="L56" s="12"/>
      <c r="M56" s="22">
        <f t="shared" si="6"/>
        <v>1645.8000000000002</v>
      </c>
      <c r="N56" s="14">
        <f t="shared" si="0"/>
        <v>5000</v>
      </c>
      <c r="O56" s="5">
        <v>0.03</v>
      </c>
      <c r="P56" s="33">
        <f t="shared" si="1"/>
        <v>164.58000000000004</v>
      </c>
      <c r="Q56" s="33">
        <f t="shared" si="2"/>
        <v>177.74640000000005</v>
      </c>
    </row>
    <row r="57" spans="1:17" x14ac:dyDescent="0.25">
      <c r="A57" s="5">
        <v>302</v>
      </c>
      <c r="B57" s="6" t="s">
        <v>128</v>
      </c>
      <c r="C57" s="7">
        <v>5000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3354.2</v>
      </c>
      <c r="I57" s="10">
        <v>225</v>
      </c>
      <c r="J57" s="10">
        <v>35</v>
      </c>
      <c r="K57" s="11"/>
      <c r="L57" s="12"/>
      <c r="M57" s="22">
        <f t="shared" si="6"/>
        <v>1385.8000000000002</v>
      </c>
      <c r="N57" s="14">
        <f t="shared" si="0"/>
        <v>4740</v>
      </c>
      <c r="O57" s="5">
        <v>0.03</v>
      </c>
      <c r="P57" s="33">
        <f t="shared" si="1"/>
        <v>138.58000000000001</v>
      </c>
      <c r="Q57" s="33">
        <f t="shared" si="2"/>
        <v>149.66640000000001</v>
      </c>
    </row>
    <row r="58" spans="1:17" x14ac:dyDescent="0.25">
      <c r="A58" s="5">
        <v>303</v>
      </c>
      <c r="B58" s="6" t="s">
        <v>129</v>
      </c>
      <c r="C58" s="7">
        <v>3500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2765.2</v>
      </c>
      <c r="I58" s="10">
        <v>150</v>
      </c>
      <c r="J58" s="10">
        <v>0</v>
      </c>
      <c r="K58" s="11">
        <v>585</v>
      </c>
      <c r="L58" s="12"/>
      <c r="M58" s="22">
        <f>C58-H58-I58+L58-K58-J58+0.2</f>
        <v>1.819100425848319E-13</v>
      </c>
      <c r="N58" s="14">
        <f t="shared" si="0"/>
        <v>2765.2</v>
      </c>
      <c r="O58" s="5">
        <v>0.03</v>
      </c>
      <c r="P58" s="33">
        <f t="shared" si="1"/>
        <v>1.8191004258483192E-14</v>
      </c>
      <c r="Q58" s="33">
        <f t="shared" si="2"/>
        <v>1.9646284599161848E-14</v>
      </c>
    </row>
    <row r="59" spans="1:17" x14ac:dyDescent="0.25">
      <c r="A59" s="5">
        <v>304</v>
      </c>
      <c r="B59" s="6" t="s">
        <v>131</v>
      </c>
      <c r="C59" s="7">
        <v>4500</v>
      </c>
      <c r="D59" s="7">
        <v>419.88</v>
      </c>
      <c r="E59" s="8">
        <f t="shared" si="3"/>
        <v>2519.2799999999997</v>
      </c>
      <c r="F59" s="8">
        <f t="shared" si="4"/>
        <v>419.88</v>
      </c>
      <c r="G59" s="9">
        <f t="shared" si="5"/>
        <v>2939.16</v>
      </c>
      <c r="H59" s="37">
        <v>3354.2</v>
      </c>
      <c r="I59" s="10">
        <v>225</v>
      </c>
      <c r="J59" s="10">
        <v>105</v>
      </c>
      <c r="K59" s="11"/>
      <c r="L59" s="12"/>
      <c r="M59" s="22">
        <f>C59-H59-I59+L59-K59-J59</f>
        <v>815.80000000000018</v>
      </c>
      <c r="N59" s="14">
        <f t="shared" si="0"/>
        <v>4170</v>
      </c>
      <c r="O59" s="5">
        <v>0.03</v>
      </c>
      <c r="P59" s="33">
        <f t="shared" si="1"/>
        <v>81.580000000000027</v>
      </c>
      <c r="Q59" s="33">
        <f t="shared" si="2"/>
        <v>88.106400000000036</v>
      </c>
    </row>
    <row r="60" spans="1:17" x14ac:dyDescent="0.25">
      <c r="A60" s="5">
        <v>305</v>
      </c>
      <c r="B60" s="6" t="s">
        <v>132</v>
      </c>
      <c r="C60" s="7">
        <v>4000</v>
      </c>
      <c r="D60" s="7">
        <v>419.88</v>
      </c>
      <c r="E60" s="8">
        <f t="shared" si="3"/>
        <v>2519.2799999999997</v>
      </c>
      <c r="F60" s="8">
        <f t="shared" si="4"/>
        <v>419.88</v>
      </c>
      <c r="G60" s="9">
        <f t="shared" si="5"/>
        <v>2939.16</v>
      </c>
      <c r="H60" s="37">
        <f>C60-I60-J60</f>
        <v>3525</v>
      </c>
      <c r="I60" s="10">
        <v>300</v>
      </c>
      <c r="J60" s="10">
        <v>175</v>
      </c>
      <c r="K60" s="11"/>
      <c r="L60" s="12"/>
      <c r="M60" s="22"/>
      <c r="N60" s="14">
        <f t="shared" si="0"/>
        <v>3525</v>
      </c>
      <c r="O60" s="5">
        <v>0.03</v>
      </c>
      <c r="P60" s="33">
        <f t="shared" si="1"/>
        <v>0</v>
      </c>
      <c r="Q60" s="33">
        <f t="shared" si="2"/>
        <v>0</v>
      </c>
    </row>
    <row r="61" spans="1:17" x14ac:dyDescent="0.25">
      <c r="A61" s="5">
        <v>306</v>
      </c>
      <c r="B61" s="6" t="s">
        <v>136</v>
      </c>
      <c r="C61" s="7">
        <v>4000</v>
      </c>
      <c r="D61" s="7">
        <v>419.88</v>
      </c>
      <c r="E61" s="8">
        <f t="shared" si="3"/>
        <v>2519.2799999999997</v>
      </c>
      <c r="F61" s="8">
        <f t="shared" si="4"/>
        <v>419.88</v>
      </c>
      <c r="G61" s="9">
        <f t="shared" si="5"/>
        <v>2939.16</v>
      </c>
      <c r="H61" s="115">
        <v>3354.2</v>
      </c>
      <c r="I61" s="10">
        <v>300</v>
      </c>
      <c r="J61" s="10">
        <v>0</v>
      </c>
      <c r="K61" s="11"/>
      <c r="L61" s="12"/>
      <c r="M61" s="22">
        <f>C61-H61-I61+L61-K61-J61</f>
        <v>345.80000000000018</v>
      </c>
      <c r="N61" s="14">
        <f t="shared" si="0"/>
        <v>3700</v>
      </c>
      <c r="O61" s="5">
        <v>0.03</v>
      </c>
      <c r="P61" s="33">
        <f t="shared" si="1"/>
        <v>34.58000000000002</v>
      </c>
      <c r="Q61" s="33">
        <f t="shared" si="2"/>
        <v>37.346400000000024</v>
      </c>
    </row>
    <row r="62" spans="1:17" x14ac:dyDescent="0.25">
      <c r="A62" s="5">
        <v>307</v>
      </c>
      <c r="B62" s="6" t="s">
        <v>140</v>
      </c>
      <c r="C62" s="7">
        <v>4000</v>
      </c>
      <c r="D62" s="7">
        <v>419.88</v>
      </c>
      <c r="E62" s="8">
        <f t="shared" si="3"/>
        <v>2519.2799999999997</v>
      </c>
      <c r="F62" s="8">
        <f t="shared" si="4"/>
        <v>419.88</v>
      </c>
      <c r="G62" s="9">
        <f t="shared" si="5"/>
        <v>2939.16</v>
      </c>
      <c r="H62" s="115">
        <v>3354.2</v>
      </c>
      <c r="I62" s="10">
        <v>300</v>
      </c>
      <c r="J62" s="10">
        <v>0</v>
      </c>
      <c r="K62" s="11"/>
      <c r="L62" s="12"/>
      <c r="M62" s="22">
        <f>C62-H62-I62+L62-K62-J62</f>
        <v>345.80000000000018</v>
      </c>
      <c r="N62" s="14">
        <f t="shared" si="0"/>
        <v>3700</v>
      </c>
      <c r="O62" s="5">
        <v>0.03</v>
      </c>
      <c r="P62" s="33">
        <f t="shared" si="1"/>
        <v>34.58000000000002</v>
      </c>
      <c r="Q62" s="33">
        <f t="shared" si="2"/>
        <v>37.346400000000024</v>
      </c>
    </row>
    <row r="63" spans="1:17" x14ac:dyDescent="0.25">
      <c r="A63" s="5">
        <v>308</v>
      </c>
      <c r="B63" s="6" t="s">
        <v>138</v>
      </c>
      <c r="C63" s="7">
        <v>2700</v>
      </c>
      <c r="D63" s="7">
        <v>420.88</v>
      </c>
      <c r="E63" s="8">
        <f t="shared" si="3"/>
        <v>2525.2799999999997</v>
      </c>
      <c r="F63" s="8">
        <f t="shared" si="4"/>
        <v>419.88</v>
      </c>
      <c r="G63" s="9">
        <f t="shared" si="5"/>
        <v>2945.16</v>
      </c>
      <c r="H63" s="115">
        <v>2630</v>
      </c>
      <c r="I63" s="10">
        <v>0</v>
      </c>
      <c r="J63" s="10">
        <v>70</v>
      </c>
      <c r="K63" s="11"/>
      <c r="L63" s="12"/>
      <c r="M63" s="22">
        <f>C63-H63-I63+L63-K63-J63</f>
        <v>0</v>
      </c>
      <c r="N63" s="14">
        <f t="shared" si="0"/>
        <v>2630</v>
      </c>
      <c r="O63" s="5">
        <v>0.03</v>
      </c>
      <c r="P63" s="33">
        <f t="shared" si="1"/>
        <v>0</v>
      </c>
      <c r="Q63" s="33">
        <f t="shared" si="2"/>
        <v>0</v>
      </c>
    </row>
    <row r="64" spans="1:17" ht="16.149999999999999" customHeight="1" thickBot="1" x14ac:dyDescent="0.3"/>
    <row r="65" spans="1:18" ht="18" thickBot="1" x14ac:dyDescent="0.35">
      <c r="A65" s="23"/>
      <c r="B65" s="24"/>
      <c r="C65" s="25">
        <f>SUM(C4:C64)</f>
        <v>295575</v>
      </c>
      <c r="D65" s="25">
        <f t="shared" ref="D65:J65" si="7">SUM(D4:D64)</f>
        <v>25193.800000000007</v>
      </c>
      <c r="E65" s="25">
        <f t="shared" si="7"/>
        <v>148643.51999999996</v>
      </c>
      <c r="F65" s="25">
        <f t="shared" si="7"/>
        <v>24772.920000000006</v>
      </c>
      <c r="G65" s="25">
        <f t="shared" si="7"/>
        <v>173416.44000000015</v>
      </c>
      <c r="H65" s="25">
        <f>SUM(H4:H64)</f>
        <v>184505.20000000004</v>
      </c>
      <c r="I65" s="26">
        <f t="shared" si="7"/>
        <v>7875</v>
      </c>
      <c r="J65" s="26">
        <f t="shared" si="7"/>
        <v>3290</v>
      </c>
      <c r="K65" s="26">
        <f>SUM(K4:K64)</f>
        <v>21332.559999999998</v>
      </c>
      <c r="L65" s="27">
        <f>SUM(L4:L64)</f>
        <v>23615.299999999996</v>
      </c>
      <c r="M65" s="25">
        <f>SUM(M4:M64)</f>
        <v>102187.94000000008</v>
      </c>
      <c r="N65" s="25">
        <f>SUM(N4:N64)</f>
        <v>286693.13999999996</v>
      </c>
      <c r="P65" s="25">
        <f>SUM(P4:P64)</f>
        <v>10218.793999999998</v>
      </c>
      <c r="Q65" s="25">
        <f>SUM(Q4:Q64)</f>
        <v>11036.297520000006</v>
      </c>
      <c r="R65" s="55">
        <f>+N65+Q65</f>
        <v>297729.43751999998</v>
      </c>
    </row>
    <row r="66" spans="1:18" x14ac:dyDescent="0.25">
      <c r="I66" s="15">
        <f>I65/75</f>
        <v>105</v>
      </c>
      <c r="J66" s="15">
        <f>J65/35</f>
        <v>94</v>
      </c>
    </row>
  </sheetData>
  <autoFilter ref="A3:Q63" xr:uid="{00000000-0009-0000-0000-000019000000}"/>
  <mergeCells count="2">
    <mergeCell ref="A1:N1"/>
    <mergeCell ref="A2:N2"/>
  </mergeCells>
  <pageMargins left="0.25" right="0.25" top="0.75" bottom="0.75" header="0.3" footer="0.3"/>
  <pageSetup scale="59" fitToHeight="0" orientation="landscape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D9C84-AE71-42F5-B408-D090579A75DC}">
  <sheetPr codeName="Hoja38">
    <pageSetUpPr fitToPage="1"/>
  </sheetPr>
  <dimension ref="A1:R66"/>
  <sheetViews>
    <sheetView showGridLines="0" topLeftCell="E1" zoomScaleNormal="100" workbookViewId="0">
      <selection activeCell="I9" sqref="I9:J9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style="117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141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116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t="15.75" hidden="1" thickBot="1" x14ac:dyDescent="0.3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63" si="0">H4+M4</f>
        <v>0</v>
      </c>
      <c r="O4" s="81" t="s">
        <v>48</v>
      </c>
      <c r="P4" s="82">
        <f t="shared" ref="P4:P63" si="1">+M4*0.1</f>
        <v>0</v>
      </c>
      <c r="Q4" s="82">
        <f t="shared" ref="Q4:Q63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3" si="3">D5*6</f>
        <v>2519.2799999999997</v>
      </c>
      <c r="F5" s="8">
        <f>D4</f>
        <v>419.88</v>
      </c>
      <c r="G5" s="9">
        <f t="shared" ref="G5:G63" si="4">E5+F5</f>
        <v>2939.16</v>
      </c>
      <c r="H5" s="37">
        <v>3354.2</v>
      </c>
      <c r="I5" s="10">
        <v>300</v>
      </c>
      <c r="J5" s="10"/>
      <c r="K5" s="11"/>
      <c r="L5" s="19"/>
      <c r="M5" s="13">
        <f>C5-H5-I5+L5-K5-J5</f>
        <v>345.80000000000018</v>
      </c>
      <c r="N5" s="14">
        <f t="shared" si="0"/>
        <v>3700</v>
      </c>
      <c r="O5" s="29" t="s">
        <v>47</v>
      </c>
      <c r="P5" s="33">
        <f t="shared" si="1"/>
        <v>34.58000000000002</v>
      </c>
      <c r="Q5" s="33">
        <f t="shared" si="2"/>
        <v>37.346400000000024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>D4</f>
        <v>419.88</v>
      </c>
      <c r="G6" s="9">
        <f t="shared" si="4"/>
        <v>2939.16</v>
      </c>
      <c r="H6" s="37">
        <v>3354.4</v>
      </c>
      <c r="I6" s="10">
        <v>225</v>
      </c>
      <c r="J6" s="10">
        <v>105</v>
      </c>
      <c r="K6" s="21">
        <v>2849.18</v>
      </c>
      <c r="L6" s="19"/>
      <c r="M6" s="13">
        <f>C6-H6-I6+L6-K6-J6</f>
        <v>8466.42</v>
      </c>
      <c r="N6" s="14">
        <f>H6+M6</f>
        <v>11820.82</v>
      </c>
      <c r="O6" s="30" t="s">
        <v>118</v>
      </c>
      <c r="P6" s="33">
        <f t="shared" si="1"/>
        <v>846.64200000000005</v>
      </c>
      <c r="Q6" s="33">
        <f t="shared" si="2"/>
        <v>914.37336000000016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>D4</f>
        <v>419.88</v>
      </c>
      <c r="G7" s="9">
        <f t="shared" si="4"/>
        <v>2939.16</v>
      </c>
      <c r="H7" s="37">
        <v>3354.2</v>
      </c>
      <c r="I7" s="10">
        <v>300</v>
      </c>
      <c r="J7" s="10">
        <v>105</v>
      </c>
      <c r="K7" s="21"/>
      <c r="L7" s="19"/>
      <c r="M7" s="13">
        <f t="shared" ref="M7:M57" si="5">C7-H7-I7+L7-K7-J7</f>
        <v>1240.8000000000002</v>
      </c>
      <c r="N7" s="14">
        <f t="shared" si="0"/>
        <v>4595</v>
      </c>
      <c r="O7" s="36" t="s">
        <v>118</v>
      </c>
      <c r="P7" s="33">
        <f t="shared" si="1"/>
        <v>124.08000000000003</v>
      </c>
      <c r="Q7" s="33">
        <f t="shared" si="2"/>
        <v>134.00640000000004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>D4</f>
        <v>419.88</v>
      </c>
      <c r="G8" s="9">
        <f t="shared" si="4"/>
        <v>2939.16</v>
      </c>
      <c r="H8" s="37">
        <v>3354.2</v>
      </c>
      <c r="I8" s="10">
        <v>300</v>
      </c>
      <c r="J8" s="10">
        <v>70</v>
      </c>
      <c r="K8" s="11"/>
      <c r="L8" s="12"/>
      <c r="M8" s="13">
        <f t="shared" si="5"/>
        <v>775.80000000000018</v>
      </c>
      <c r="N8" s="14">
        <f t="shared" si="0"/>
        <v>4130</v>
      </c>
      <c r="O8" s="30" t="s">
        <v>118</v>
      </c>
      <c r="P8" s="33">
        <f t="shared" si="1"/>
        <v>77.580000000000027</v>
      </c>
      <c r="Q8" s="33">
        <f t="shared" si="2"/>
        <v>83.786400000000029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>D4</f>
        <v>419.88</v>
      </c>
      <c r="G9" s="9">
        <f t="shared" si="4"/>
        <v>2939.16</v>
      </c>
      <c r="H9" s="37">
        <v>3120.2</v>
      </c>
      <c r="I9" s="10">
        <v>225</v>
      </c>
      <c r="J9" s="10">
        <v>140</v>
      </c>
      <c r="K9" s="21">
        <v>293.92</v>
      </c>
      <c r="L9" s="12">
        <v>5000</v>
      </c>
      <c r="M9" s="22">
        <f t="shared" si="5"/>
        <v>5220.88</v>
      </c>
      <c r="N9" s="14">
        <f t="shared" si="0"/>
        <v>8341.08</v>
      </c>
      <c r="O9" s="30" t="s">
        <v>47</v>
      </c>
      <c r="P9" s="33">
        <f t="shared" si="1"/>
        <v>522.08800000000008</v>
      </c>
      <c r="Q9" s="33">
        <f t="shared" si="2"/>
        <v>563.85504000000014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>D4</f>
        <v>419.88</v>
      </c>
      <c r="G10" s="9">
        <f t="shared" si="4"/>
        <v>2939.16</v>
      </c>
      <c r="H10" s="37">
        <v>3354.4</v>
      </c>
      <c r="I10" s="10"/>
      <c r="J10" s="10"/>
      <c r="K10" s="100"/>
      <c r="L10" s="19"/>
      <c r="M10" s="22">
        <f t="shared" si="5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>D4</f>
        <v>419.88</v>
      </c>
      <c r="G11" s="9">
        <f t="shared" si="4"/>
        <v>2939.16</v>
      </c>
      <c r="H11" s="37">
        <v>2001</v>
      </c>
      <c r="I11" s="10"/>
      <c r="J11" s="10">
        <v>35</v>
      </c>
      <c r="K11" s="11">
        <v>1000</v>
      </c>
      <c r="L11" s="12">
        <v>2000</v>
      </c>
      <c r="M11" s="13">
        <f t="shared" si="5"/>
        <v>5964</v>
      </c>
      <c r="N11" s="14">
        <f t="shared" si="0"/>
        <v>7965</v>
      </c>
      <c r="O11" s="30" t="s">
        <v>118</v>
      </c>
      <c r="P11" s="33">
        <f t="shared" si="1"/>
        <v>596.4</v>
      </c>
      <c r="Q11" s="33">
        <f t="shared" si="2"/>
        <v>644.11199999999997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>D4</f>
        <v>419.88</v>
      </c>
      <c r="G12" s="9">
        <f t="shared" si="4"/>
        <v>2939.16</v>
      </c>
      <c r="H12" s="37">
        <v>3354.4</v>
      </c>
      <c r="I12" s="10">
        <v>150</v>
      </c>
      <c r="J12" s="10">
        <v>105</v>
      </c>
      <c r="K12" s="11"/>
      <c r="L12" s="12"/>
      <c r="M12" s="13">
        <f t="shared" si="5"/>
        <v>1390.6</v>
      </c>
      <c r="N12" s="14">
        <f t="shared" si="0"/>
        <v>4745</v>
      </c>
      <c r="O12" s="30">
        <v>0.03</v>
      </c>
      <c r="P12" s="33">
        <f t="shared" si="1"/>
        <v>139.06</v>
      </c>
      <c r="Q12" s="33">
        <f t="shared" si="2"/>
        <v>150.18480000000002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>D4</f>
        <v>419.88</v>
      </c>
      <c r="G13" s="9">
        <f t="shared" si="4"/>
        <v>2939.16</v>
      </c>
      <c r="H13" s="37">
        <v>3135</v>
      </c>
      <c r="I13" s="10">
        <v>225</v>
      </c>
      <c r="J13" s="10">
        <v>140</v>
      </c>
      <c r="K13" s="21"/>
      <c r="L13" s="19"/>
      <c r="M13" s="13">
        <f t="shared" si="5"/>
        <v>0</v>
      </c>
      <c r="N13" s="14">
        <f t="shared" si="0"/>
        <v>3135</v>
      </c>
      <c r="O13" s="30">
        <v>0.03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>D4</f>
        <v>419.88</v>
      </c>
      <c r="G14" s="9">
        <f t="shared" si="4"/>
        <v>2939.16</v>
      </c>
      <c r="H14" s="37">
        <v>2699.2</v>
      </c>
      <c r="I14" s="10"/>
      <c r="J14" s="10">
        <v>35</v>
      </c>
      <c r="K14" s="21">
        <f>587.84+668.57</f>
        <v>1256.4100000000001</v>
      </c>
      <c r="L14" s="19"/>
      <c r="M14" s="22">
        <f>C14-H14-I14+L14-K14-J14</f>
        <v>9.3900000000001</v>
      </c>
      <c r="N14" s="14">
        <f t="shared" si="0"/>
        <v>2708.59</v>
      </c>
      <c r="O14" s="36" t="s">
        <v>50</v>
      </c>
      <c r="P14" s="33">
        <f t="shared" si="1"/>
        <v>0.93900000000001005</v>
      </c>
      <c r="Q14" s="33">
        <f t="shared" si="2"/>
        <v>1.014120000000011</v>
      </c>
    </row>
    <row r="15" spans="1:17" x14ac:dyDescent="0.25">
      <c r="A15" s="5">
        <v>150</v>
      </c>
      <c r="B15" s="6" t="s">
        <v>24</v>
      </c>
      <c r="C15" s="7">
        <v>5000</v>
      </c>
      <c r="D15" s="7">
        <v>419.88</v>
      </c>
      <c r="E15" s="8">
        <f t="shared" si="3"/>
        <v>2519.2799999999997</v>
      </c>
      <c r="F15" s="8">
        <f>D4</f>
        <v>419.88</v>
      </c>
      <c r="G15" s="9">
        <f t="shared" si="4"/>
        <v>2939.16</v>
      </c>
      <c r="H15" s="37">
        <v>3354.4</v>
      </c>
      <c r="I15" s="10"/>
      <c r="J15" s="10"/>
      <c r="K15" s="21"/>
      <c r="L15" s="19"/>
      <c r="M15" s="13">
        <f t="shared" si="5"/>
        <v>1645.6</v>
      </c>
      <c r="N15" s="14">
        <f t="shared" si="0"/>
        <v>5000</v>
      </c>
      <c r="O15" s="30" t="s">
        <v>47</v>
      </c>
      <c r="P15" s="33">
        <f t="shared" si="1"/>
        <v>164.56</v>
      </c>
      <c r="Q15" s="33">
        <f t="shared" si="2"/>
        <v>177.72480000000002</v>
      </c>
    </row>
    <row r="16" spans="1:17" x14ac:dyDescent="0.25">
      <c r="A16" s="5">
        <v>752</v>
      </c>
      <c r="B16" s="6" t="s">
        <v>25</v>
      </c>
      <c r="C16" s="7">
        <v>4500</v>
      </c>
      <c r="D16" s="7">
        <v>419.88</v>
      </c>
      <c r="E16" s="8">
        <f t="shared" si="3"/>
        <v>2519.2799999999997</v>
      </c>
      <c r="F16" s="8">
        <f>D4</f>
        <v>419.88</v>
      </c>
      <c r="G16" s="9">
        <f t="shared" si="4"/>
        <v>2939.16</v>
      </c>
      <c r="H16" s="37">
        <v>3354.2</v>
      </c>
      <c r="I16" s="10">
        <v>75</v>
      </c>
      <c r="J16" s="10">
        <v>140</v>
      </c>
      <c r="K16" s="21"/>
      <c r="L16" s="12"/>
      <c r="M16" s="13">
        <f>C16-H16-I16+L16-K16-J16</f>
        <v>930.80000000000018</v>
      </c>
      <c r="N16" s="14">
        <f t="shared" si="0"/>
        <v>4285</v>
      </c>
      <c r="O16" s="29">
        <v>0.03</v>
      </c>
      <c r="P16" s="33">
        <f t="shared" si="1"/>
        <v>93.080000000000027</v>
      </c>
      <c r="Q16" s="33">
        <f t="shared" si="2"/>
        <v>100.52640000000004</v>
      </c>
    </row>
    <row r="17" spans="1:17" s="55" customFormat="1" x14ac:dyDescent="0.25">
      <c r="A17" s="5">
        <v>162</v>
      </c>
      <c r="B17" s="6" t="s">
        <v>27</v>
      </c>
      <c r="C17" s="7">
        <v>4500</v>
      </c>
      <c r="D17" s="7">
        <v>419.88</v>
      </c>
      <c r="E17" s="8">
        <f t="shared" si="3"/>
        <v>2519.2799999999997</v>
      </c>
      <c r="F17" s="8">
        <f>D4</f>
        <v>419.88</v>
      </c>
      <c r="G17" s="9">
        <f t="shared" si="4"/>
        <v>2939.16</v>
      </c>
      <c r="H17" s="37">
        <v>3354.4</v>
      </c>
      <c r="I17" s="10">
        <v>225</v>
      </c>
      <c r="J17" s="10"/>
      <c r="K17" s="21"/>
      <c r="L17" s="19"/>
      <c r="M17" s="13">
        <f t="shared" si="5"/>
        <v>920.59999999999991</v>
      </c>
      <c r="N17" s="14">
        <f t="shared" si="0"/>
        <v>4275</v>
      </c>
      <c r="O17" s="29">
        <v>0.03</v>
      </c>
      <c r="P17" s="33">
        <f t="shared" si="1"/>
        <v>92.06</v>
      </c>
      <c r="Q17" s="33">
        <f t="shared" si="2"/>
        <v>99.424800000000005</v>
      </c>
    </row>
    <row r="18" spans="1:17" s="55" customFormat="1" x14ac:dyDescent="0.25">
      <c r="A18" s="5">
        <v>174</v>
      </c>
      <c r="B18" s="6" t="s">
        <v>28</v>
      </c>
      <c r="C18" s="7">
        <v>10000</v>
      </c>
      <c r="D18" s="7">
        <v>419.88</v>
      </c>
      <c r="E18" s="8">
        <f t="shared" si="3"/>
        <v>2519.2799999999997</v>
      </c>
      <c r="F18" s="8">
        <f>D4</f>
        <v>419.88</v>
      </c>
      <c r="G18" s="9">
        <f t="shared" si="4"/>
        <v>2939.16</v>
      </c>
      <c r="H18" s="37">
        <v>2376</v>
      </c>
      <c r="I18" s="10"/>
      <c r="J18" s="10"/>
      <c r="K18" s="16">
        <f>908.03+1697.53</f>
        <v>2605.56</v>
      </c>
      <c r="L18" s="12"/>
      <c r="M18" s="13">
        <f t="shared" si="5"/>
        <v>5018.4400000000005</v>
      </c>
      <c r="N18" s="14">
        <f t="shared" si="0"/>
        <v>7394.4400000000005</v>
      </c>
      <c r="O18" s="29" t="s">
        <v>50</v>
      </c>
      <c r="P18" s="33">
        <f t="shared" si="1"/>
        <v>501.84400000000005</v>
      </c>
      <c r="Q18" s="33">
        <f t="shared" si="2"/>
        <v>541.99152000000004</v>
      </c>
    </row>
    <row r="19" spans="1:17" s="55" customFormat="1" x14ac:dyDescent="0.25">
      <c r="A19" s="5">
        <v>184</v>
      </c>
      <c r="B19" s="6" t="s">
        <v>29</v>
      </c>
      <c r="C19" s="7">
        <v>8000</v>
      </c>
      <c r="D19" s="7">
        <v>419.88</v>
      </c>
      <c r="E19" s="8">
        <f t="shared" si="3"/>
        <v>2519.2799999999997</v>
      </c>
      <c r="F19" s="8">
        <f>D4</f>
        <v>419.88</v>
      </c>
      <c r="G19" s="9">
        <f t="shared" si="4"/>
        <v>2939.16</v>
      </c>
      <c r="H19" s="37">
        <v>3354.4</v>
      </c>
      <c r="I19" s="10">
        <v>300</v>
      </c>
      <c r="J19" s="10">
        <v>140</v>
      </c>
      <c r="K19" s="21"/>
      <c r="L19" s="19"/>
      <c r="M19" s="13">
        <f t="shared" si="5"/>
        <v>4205.6000000000004</v>
      </c>
      <c r="N19" s="14">
        <f t="shared" si="0"/>
        <v>7560</v>
      </c>
      <c r="O19" s="29">
        <v>0.03</v>
      </c>
      <c r="P19" s="33">
        <f t="shared" si="1"/>
        <v>420.56000000000006</v>
      </c>
      <c r="Q19" s="33">
        <f t="shared" si="2"/>
        <v>454.20480000000009</v>
      </c>
    </row>
    <row r="20" spans="1:17" s="55" customFormat="1" ht="13.5" customHeight="1" x14ac:dyDescent="0.25">
      <c r="A20" s="5">
        <v>204</v>
      </c>
      <c r="B20" s="6" t="s">
        <v>33</v>
      </c>
      <c r="C20" s="7">
        <v>5000</v>
      </c>
      <c r="D20" s="7">
        <v>419.88</v>
      </c>
      <c r="E20" s="8">
        <f t="shared" si="3"/>
        <v>2519.2799999999997</v>
      </c>
      <c r="F20" s="8">
        <f>D4</f>
        <v>419.88</v>
      </c>
      <c r="G20" s="9">
        <f t="shared" si="4"/>
        <v>2939.16</v>
      </c>
      <c r="H20" s="37">
        <v>3354.4</v>
      </c>
      <c r="I20" s="10">
        <v>150</v>
      </c>
      <c r="J20" s="10">
        <v>70</v>
      </c>
      <c r="K20" s="11"/>
      <c r="L20" s="19"/>
      <c r="M20" s="13">
        <f t="shared" si="5"/>
        <v>1425.6</v>
      </c>
      <c r="N20" s="14">
        <f t="shared" si="0"/>
        <v>4780</v>
      </c>
      <c r="O20" s="29" t="s">
        <v>118</v>
      </c>
      <c r="P20" s="33">
        <f t="shared" si="1"/>
        <v>142.56</v>
      </c>
      <c r="Q20" s="33">
        <f t="shared" si="2"/>
        <v>153.96480000000003</v>
      </c>
    </row>
    <row r="21" spans="1:17" s="55" customFormat="1" x14ac:dyDescent="0.25">
      <c r="A21" s="5">
        <v>213</v>
      </c>
      <c r="B21" s="6" t="s">
        <v>34</v>
      </c>
      <c r="C21" s="7">
        <v>4000</v>
      </c>
      <c r="D21" s="7">
        <v>419.88</v>
      </c>
      <c r="E21" s="8">
        <f t="shared" si="3"/>
        <v>2519.2799999999997</v>
      </c>
      <c r="F21" s="8">
        <f>D4</f>
        <v>419.88</v>
      </c>
      <c r="G21" s="9">
        <f t="shared" si="4"/>
        <v>2939.16</v>
      </c>
      <c r="H21" s="37">
        <v>3354.2</v>
      </c>
      <c r="I21" s="10"/>
      <c r="J21" s="10"/>
      <c r="K21" s="11"/>
      <c r="L21" s="12"/>
      <c r="M21" s="13">
        <f t="shared" si="5"/>
        <v>645.80000000000018</v>
      </c>
      <c r="N21" s="14">
        <f t="shared" si="0"/>
        <v>4000</v>
      </c>
      <c r="O21" s="29" t="s">
        <v>50</v>
      </c>
      <c r="P21" s="33">
        <f t="shared" si="1"/>
        <v>64.580000000000027</v>
      </c>
      <c r="Q21" s="33">
        <f t="shared" si="2"/>
        <v>69.746400000000037</v>
      </c>
    </row>
    <row r="22" spans="1:17" s="55" customFormat="1" x14ac:dyDescent="0.25">
      <c r="A22" s="5">
        <v>215</v>
      </c>
      <c r="B22" s="6" t="s">
        <v>35</v>
      </c>
      <c r="C22" s="7">
        <v>5000</v>
      </c>
      <c r="D22" s="7">
        <v>419.88</v>
      </c>
      <c r="E22" s="8">
        <f t="shared" si="3"/>
        <v>2519.2799999999997</v>
      </c>
      <c r="F22" s="8">
        <f>D4</f>
        <v>419.88</v>
      </c>
      <c r="G22" s="9">
        <f t="shared" si="4"/>
        <v>2939.16</v>
      </c>
      <c r="H22" s="37">
        <v>3354.4</v>
      </c>
      <c r="I22" s="10">
        <v>300</v>
      </c>
      <c r="J22" s="10">
        <v>140</v>
      </c>
      <c r="K22" s="21"/>
      <c r="L22" s="19"/>
      <c r="M22" s="13">
        <f t="shared" si="5"/>
        <v>1205.5999999999999</v>
      </c>
      <c r="N22" s="14">
        <f t="shared" si="0"/>
        <v>4560</v>
      </c>
      <c r="O22" s="29" t="s">
        <v>118</v>
      </c>
      <c r="P22" s="33">
        <f t="shared" si="1"/>
        <v>120.56</v>
      </c>
      <c r="Q22" s="33">
        <f t="shared" si="2"/>
        <v>130.20480000000001</v>
      </c>
    </row>
    <row r="23" spans="1:17" s="55" customFormat="1" x14ac:dyDescent="0.25">
      <c r="A23" s="5">
        <v>218</v>
      </c>
      <c r="B23" s="6" t="s">
        <v>36</v>
      </c>
      <c r="C23" s="7">
        <v>3500</v>
      </c>
      <c r="D23" s="7">
        <v>419.88</v>
      </c>
      <c r="E23" s="8">
        <f t="shared" si="3"/>
        <v>2519.2799999999997</v>
      </c>
      <c r="F23" s="8">
        <f>D4</f>
        <v>419.88</v>
      </c>
      <c r="G23" s="9">
        <f t="shared" si="4"/>
        <v>2939.16</v>
      </c>
      <c r="H23" s="37">
        <v>3354.4</v>
      </c>
      <c r="I23" s="10"/>
      <c r="J23" s="10"/>
      <c r="K23" s="12"/>
      <c r="L23" s="12"/>
      <c r="M23" s="13">
        <f t="shared" si="5"/>
        <v>145.59999999999991</v>
      </c>
      <c r="N23" s="14">
        <f t="shared" si="0"/>
        <v>3500</v>
      </c>
      <c r="O23" s="29" t="s">
        <v>49</v>
      </c>
      <c r="P23" s="33">
        <f t="shared" si="1"/>
        <v>14.559999999999992</v>
      </c>
      <c r="Q23" s="33">
        <f t="shared" si="2"/>
        <v>15.724799999999991</v>
      </c>
    </row>
    <row r="24" spans="1:17" s="55" customFormat="1" x14ac:dyDescent="0.25">
      <c r="A24" s="36">
        <v>220</v>
      </c>
      <c r="B24" s="6" t="s">
        <v>37</v>
      </c>
      <c r="C24" s="7">
        <v>4000</v>
      </c>
      <c r="D24" s="7">
        <v>419.88</v>
      </c>
      <c r="E24" s="8">
        <f t="shared" si="3"/>
        <v>2519.2799999999997</v>
      </c>
      <c r="F24" s="8">
        <f>D4</f>
        <v>419.88</v>
      </c>
      <c r="G24" s="9">
        <f t="shared" si="4"/>
        <v>2939.16</v>
      </c>
      <c r="H24" s="37">
        <v>2744</v>
      </c>
      <c r="I24" s="10">
        <v>150</v>
      </c>
      <c r="J24" s="10">
        <v>140</v>
      </c>
      <c r="K24" s="16">
        <v>610.33000000000004</v>
      </c>
      <c r="L24" s="12"/>
      <c r="M24" s="22">
        <f>C24-H24-I24+L24-K24-J24</f>
        <v>355.66999999999996</v>
      </c>
      <c r="N24" s="14">
        <f t="shared" si="0"/>
        <v>3099.67</v>
      </c>
      <c r="O24" s="36">
        <v>0.03</v>
      </c>
      <c r="P24" s="33">
        <f t="shared" si="1"/>
        <v>35.567</v>
      </c>
      <c r="Q24" s="33">
        <f t="shared" si="2"/>
        <v>38.41236</v>
      </c>
    </row>
    <row r="25" spans="1:17" s="55" customFormat="1" x14ac:dyDescent="0.25">
      <c r="A25" s="5">
        <v>221</v>
      </c>
      <c r="B25" s="6" t="s">
        <v>38</v>
      </c>
      <c r="C25" s="7">
        <v>5000</v>
      </c>
      <c r="D25" s="7">
        <v>419.88</v>
      </c>
      <c r="E25" s="8">
        <f t="shared" si="3"/>
        <v>2519.2799999999997</v>
      </c>
      <c r="F25" s="8">
        <f>D4</f>
        <v>419.88</v>
      </c>
      <c r="G25" s="9">
        <f t="shared" si="4"/>
        <v>2939.16</v>
      </c>
      <c r="H25" s="37">
        <v>3354.4</v>
      </c>
      <c r="I25" s="10">
        <v>300</v>
      </c>
      <c r="J25" s="10"/>
      <c r="K25" s="21"/>
      <c r="L25" s="12"/>
      <c r="M25" s="13">
        <f t="shared" si="5"/>
        <v>1345.6</v>
      </c>
      <c r="N25" s="14">
        <f t="shared" si="0"/>
        <v>4700</v>
      </c>
      <c r="O25" s="29">
        <v>0.03</v>
      </c>
      <c r="P25" s="33">
        <f t="shared" si="1"/>
        <v>134.56</v>
      </c>
      <c r="Q25" s="33">
        <f t="shared" si="2"/>
        <v>145.32480000000001</v>
      </c>
    </row>
    <row r="26" spans="1:17" s="55" customFormat="1" x14ac:dyDescent="0.25">
      <c r="A26" s="5">
        <v>222</v>
      </c>
      <c r="B26" s="6" t="s">
        <v>39</v>
      </c>
      <c r="C26" s="7">
        <v>8000</v>
      </c>
      <c r="D26" s="7">
        <v>419.88</v>
      </c>
      <c r="E26" s="8">
        <f t="shared" si="3"/>
        <v>2519.2799999999997</v>
      </c>
      <c r="F26" s="8">
        <f>D4</f>
        <v>419.88</v>
      </c>
      <c r="G26" s="9">
        <f t="shared" si="4"/>
        <v>2939.16</v>
      </c>
      <c r="H26" s="37">
        <v>2681.4</v>
      </c>
      <c r="I26" s="10">
        <v>300</v>
      </c>
      <c r="J26" s="10">
        <v>105</v>
      </c>
      <c r="K26" s="16">
        <v>1538.46</v>
      </c>
      <c r="L26" s="19"/>
      <c r="M26" s="13">
        <f t="shared" si="5"/>
        <v>3375.1400000000003</v>
      </c>
      <c r="N26" s="14">
        <f t="shared" si="0"/>
        <v>6056.5400000000009</v>
      </c>
      <c r="O26" s="29" t="s">
        <v>118</v>
      </c>
      <c r="P26" s="33">
        <f t="shared" si="1"/>
        <v>337.51400000000007</v>
      </c>
      <c r="Q26" s="33">
        <f t="shared" si="2"/>
        <v>364.51512000000008</v>
      </c>
    </row>
    <row r="27" spans="1:17" s="55" customFormat="1" x14ac:dyDescent="0.25">
      <c r="A27" s="5">
        <v>227</v>
      </c>
      <c r="B27" s="6" t="s">
        <v>41</v>
      </c>
      <c r="C27" s="7">
        <v>6000</v>
      </c>
      <c r="D27" s="7">
        <v>419.88</v>
      </c>
      <c r="E27" s="8">
        <f t="shared" si="3"/>
        <v>2519.2799999999997</v>
      </c>
      <c r="F27" s="8">
        <f>D4</f>
        <v>419.88</v>
      </c>
      <c r="G27" s="9">
        <f t="shared" si="4"/>
        <v>2939.16</v>
      </c>
      <c r="H27" s="37">
        <v>3354.4</v>
      </c>
      <c r="I27" s="10">
        <v>300</v>
      </c>
      <c r="J27" s="10">
        <v>140</v>
      </c>
      <c r="K27" s="21"/>
      <c r="L27" s="12"/>
      <c r="M27" s="13">
        <f t="shared" si="5"/>
        <v>2205.6</v>
      </c>
      <c r="N27" s="14">
        <f t="shared" si="0"/>
        <v>5560</v>
      </c>
      <c r="O27" s="29" t="s">
        <v>118</v>
      </c>
      <c r="P27" s="33">
        <f t="shared" si="1"/>
        <v>220.56</v>
      </c>
      <c r="Q27" s="33">
        <f t="shared" si="2"/>
        <v>238.20480000000001</v>
      </c>
    </row>
    <row r="28" spans="1:17" s="55" customFormat="1" x14ac:dyDescent="0.25">
      <c r="A28" s="5">
        <v>233</v>
      </c>
      <c r="B28" s="6" t="s">
        <v>42</v>
      </c>
      <c r="C28" s="7">
        <v>6250</v>
      </c>
      <c r="D28" s="7">
        <v>419.88</v>
      </c>
      <c r="E28" s="8">
        <f t="shared" si="3"/>
        <v>2519.2799999999997</v>
      </c>
      <c r="F28" s="8">
        <f>D4</f>
        <v>419.88</v>
      </c>
      <c r="G28" s="9">
        <f t="shared" si="4"/>
        <v>2939.16</v>
      </c>
      <c r="H28" s="37">
        <v>838</v>
      </c>
      <c r="I28" s="10">
        <v>300</v>
      </c>
      <c r="J28" s="10">
        <v>70</v>
      </c>
      <c r="K28" s="21"/>
      <c r="L28" s="19"/>
      <c r="M28" s="13">
        <f t="shared" si="5"/>
        <v>5042</v>
      </c>
      <c r="N28" s="14">
        <f t="shared" si="0"/>
        <v>5880</v>
      </c>
      <c r="O28" s="31" t="s">
        <v>118</v>
      </c>
      <c r="P28" s="33">
        <f t="shared" si="1"/>
        <v>504.20000000000005</v>
      </c>
      <c r="Q28" s="33">
        <f t="shared" si="2"/>
        <v>544.53600000000006</v>
      </c>
    </row>
    <row r="29" spans="1:17" s="55" customFormat="1" x14ac:dyDescent="0.25">
      <c r="A29" s="5">
        <v>244</v>
      </c>
      <c r="B29" s="6" t="s">
        <v>44</v>
      </c>
      <c r="C29" s="7">
        <v>5000</v>
      </c>
      <c r="D29" s="7">
        <v>419.88</v>
      </c>
      <c r="E29" s="8">
        <f t="shared" si="3"/>
        <v>2519.2799999999997</v>
      </c>
      <c r="F29" s="8">
        <f>D4</f>
        <v>419.88</v>
      </c>
      <c r="G29" s="9">
        <f t="shared" si="4"/>
        <v>2939.16</v>
      </c>
      <c r="H29" s="37">
        <v>3432.2</v>
      </c>
      <c r="I29" s="10">
        <v>300</v>
      </c>
      <c r="J29" s="10">
        <v>140</v>
      </c>
      <c r="K29" s="21"/>
      <c r="L29" s="12">
        <v>357.14</v>
      </c>
      <c r="M29" s="13">
        <f>C29-H29-I29+L29-K29-J29</f>
        <v>1484.94</v>
      </c>
      <c r="N29" s="14">
        <f t="shared" si="0"/>
        <v>4917.1399999999994</v>
      </c>
      <c r="O29" s="29">
        <v>0.03</v>
      </c>
      <c r="P29" s="33">
        <f t="shared" si="1"/>
        <v>148.494</v>
      </c>
      <c r="Q29" s="33">
        <f t="shared" si="2"/>
        <v>160.37352000000001</v>
      </c>
    </row>
    <row r="30" spans="1:17" s="55" customFormat="1" x14ac:dyDescent="0.25">
      <c r="A30" s="5">
        <v>245</v>
      </c>
      <c r="B30" s="6" t="s">
        <v>45</v>
      </c>
      <c r="C30" s="7">
        <v>5000</v>
      </c>
      <c r="D30" s="7">
        <v>419.88</v>
      </c>
      <c r="E30" s="8">
        <f t="shared" si="3"/>
        <v>2519.2799999999997</v>
      </c>
      <c r="F30" s="8">
        <f>D4</f>
        <v>419.88</v>
      </c>
      <c r="G30" s="9">
        <f t="shared" si="4"/>
        <v>2939.16</v>
      </c>
      <c r="H30" s="37">
        <v>3354.4</v>
      </c>
      <c r="I30" s="10">
        <v>75</v>
      </c>
      <c r="J30" s="10"/>
      <c r="K30" s="11"/>
      <c r="L30" s="19"/>
      <c r="M30" s="13">
        <f t="shared" si="5"/>
        <v>1570.6</v>
      </c>
      <c r="N30" s="14">
        <f>H30+M30</f>
        <v>4925</v>
      </c>
      <c r="O30" s="34" t="s">
        <v>47</v>
      </c>
      <c r="P30" s="33">
        <f t="shared" si="1"/>
        <v>157.06</v>
      </c>
      <c r="Q30" s="33">
        <f t="shared" si="2"/>
        <v>169.62480000000002</v>
      </c>
    </row>
    <row r="31" spans="1:17" s="55" customFormat="1" x14ac:dyDescent="0.25">
      <c r="A31" s="5">
        <v>252</v>
      </c>
      <c r="B31" s="6" t="s">
        <v>53</v>
      </c>
      <c r="C31" s="7">
        <v>5000</v>
      </c>
      <c r="D31" s="7">
        <v>419.88</v>
      </c>
      <c r="E31" s="8">
        <f t="shared" si="3"/>
        <v>2519.2799999999997</v>
      </c>
      <c r="F31" s="8">
        <f>D4</f>
        <v>419.88</v>
      </c>
      <c r="G31" s="9">
        <f t="shared" si="4"/>
        <v>2939.16</v>
      </c>
      <c r="H31" s="37">
        <v>3354.4</v>
      </c>
      <c r="I31" s="10">
        <v>300</v>
      </c>
      <c r="J31" s="10">
        <v>105</v>
      </c>
      <c r="K31" s="21"/>
      <c r="L31" s="12"/>
      <c r="M31" s="22">
        <f>C31-H31-I31+L31-K31-J31</f>
        <v>1240.5999999999999</v>
      </c>
      <c r="N31" s="14">
        <f t="shared" si="0"/>
        <v>4595</v>
      </c>
      <c r="O31" s="5">
        <v>0.03</v>
      </c>
      <c r="P31" s="33">
        <f t="shared" si="1"/>
        <v>124.06</v>
      </c>
      <c r="Q31" s="33">
        <f t="shared" si="2"/>
        <v>133.98480000000001</v>
      </c>
    </row>
    <row r="32" spans="1:17" s="55" customFormat="1" x14ac:dyDescent="0.25">
      <c r="A32" s="5">
        <v>260</v>
      </c>
      <c r="B32" s="6" t="s">
        <v>54</v>
      </c>
      <c r="C32" s="7">
        <v>5000</v>
      </c>
      <c r="D32" s="7">
        <v>419.88</v>
      </c>
      <c r="E32" s="8">
        <f t="shared" si="3"/>
        <v>2519.2799999999997</v>
      </c>
      <c r="F32" s="8">
        <f>D4</f>
        <v>419.88</v>
      </c>
      <c r="G32" s="9">
        <f t="shared" si="4"/>
        <v>2939.16</v>
      </c>
      <c r="H32" s="37">
        <v>3354.2</v>
      </c>
      <c r="I32" s="10"/>
      <c r="J32" s="10">
        <v>70</v>
      </c>
      <c r="K32" s="11"/>
      <c r="L32" s="19"/>
      <c r="M32" s="13">
        <f t="shared" si="5"/>
        <v>1575.8000000000002</v>
      </c>
      <c r="N32" s="14">
        <f t="shared" si="0"/>
        <v>4930</v>
      </c>
      <c r="O32" s="5" t="s">
        <v>48</v>
      </c>
      <c r="P32" s="33">
        <f t="shared" si="1"/>
        <v>157.58000000000004</v>
      </c>
      <c r="Q32" s="33">
        <f t="shared" si="2"/>
        <v>170.18640000000005</v>
      </c>
    </row>
    <row r="33" spans="1:17" s="55" customFormat="1" x14ac:dyDescent="0.25">
      <c r="A33" s="5">
        <v>261</v>
      </c>
      <c r="B33" s="6" t="s">
        <v>55</v>
      </c>
      <c r="C33" s="7">
        <v>4000</v>
      </c>
      <c r="D33" s="7">
        <v>419.88</v>
      </c>
      <c r="E33" s="8">
        <f t="shared" si="3"/>
        <v>2519.2799999999997</v>
      </c>
      <c r="F33" s="8">
        <f>D4</f>
        <v>419.88</v>
      </c>
      <c r="G33" s="9">
        <f t="shared" si="4"/>
        <v>2939.16</v>
      </c>
      <c r="H33" s="37">
        <v>2409.8000000000002</v>
      </c>
      <c r="I33" s="10">
        <v>225</v>
      </c>
      <c r="J33" s="10">
        <v>140</v>
      </c>
      <c r="K33" s="16">
        <v>913.35</v>
      </c>
      <c r="L33" s="19">
        <v>142.86000000000001</v>
      </c>
      <c r="M33" s="13">
        <f t="shared" si="5"/>
        <v>454.70999999999992</v>
      </c>
      <c r="N33" s="14">
        <f t="shared" si="0"/>
        <v>2864.51</v>
      </c>
      <c r="O33" s="5">
        <v>0.03</v>
      </c>
      <c r="P33" s="33">
        <f t="shared" si="1"/>
        <v>45.470999999999997</v>
      </c>
      <c r="Q33" s="33">
        <f t="shared" si="2"/>
        <v>49.10868</v>
      </c>
    </row>
    <row r="34" spans="1:17" s="55" customFormat="1" x14ac:dyDescent="0.25">
      <c r="A34" s="5">
        <v>267</v>
      </c>
      <c r="B34" s="6" t="s">
        <v>56</v>
      </c>
      <c r="C34" s="7">
        <v>5000</v>
      </c>
      <c r="D34" s="7">
        <v>419.88</v>
      </c>
      <c r="E34" s="8">
        <f t="shared" si="3"/>
        <v>2519.2799999999997</v>
      </c>
      <c r="F34" s="8">
        <f>D4</f>
        <v>419.88</v>
      </c>
      <c r="G34" s="9">
        <f t="shared" si="4"/>
        <v>2939.16</v>
      </c>
      <c r="H34" s="37">
        <v>3830</v>
      </c>
      <c r="I34" s="10">
        <v>225</v>
      </c>
      <c r="J34" s="10">
        <v>140</v>
      </c>
      <c r="K34" s="16">
        <f>560.42</f>
        <v>560.41999999999996</v>
      </c>
      <c r="L34" s="12">
        <v>1607.14</v>
      </c>
      <c r="M34" s="13">
        <f t="shared" si="5"/>
        <v>1851.7200000000003</v>
      </c>
      <c r="N34" s="14">
        <f t="shared" si="0"/>
        <v>5681.72</v>
      </c>
      <c r="O34" s="5" t="s">
        <v>47</v>
      </c>
      <c r="P34" s="33">
        <f t="shared" si="1"/>
        <v>185.17200000000003</v>
      </c>
      <c r="Q34" s="33">
        <f t="shared" si="2"/>
        <v>199.98576000000003</v>
      </c>
    </row>
    <row r="35" spans="1:17" s="55" customFormat="1" x14ac:dyDescent="0.25">
      <c r="A35" s="5">
        <v>269</v>
      </c>
      <c r="B35" s="6" t="s">
        <v>58</v>
      </c>
      <c r="C35" s="7">
        <v>7000</v>
      </c>
      <c r="D35" s="7">
        <v>419.88</v>
      </c>
      <c r="E35" s="8">
        <f t="shared" si="3"/>
        <v>2519.2799999999997</v>
      </c>
      <c r="F35" s="8">
        <f>D4</f>
        <v>419.88</v>
      </c>
      <c r="G35" s="9">
        <f t="shared" si="4"/>
        <v>2939.16</v>
      </c>
      <c r="H35" s="37">
        <v>3120.2</v>
      </c>
      <c r="I35" s="10">
        <v>300</v>
      </c>
      <c r="J35" s="10">
        <v>140</v>
      </c>
      <c r="K35" s="21">
        <v>293.92</v>
      </c>
      <c r="L35" s="19"/>
      <c r="M35" s="13">
        <f t="shared" si="5"/>
        <v>3145.88</v>
      </c>
      <c r="N35" s="14">
        <f>H35+M35</f>
        <v>6266.08</v>
      </c>
      <c r="O35" s="5" t="s">
        <v>118</v>
      </c>
      <c r="P35" s="33">
        <f t="shared" si="1"/>
        <v>314.58800000000002</v>
      </c>
      <c r="Q35" s="33">
        <f t="shared" si="2"/>
        <v>339.75504000000006</v>
      </c>
    </row>
    <row r="36" spans="1:17" s="55" customFormat="1" x14ac:dyDescent="0.25">
      <c r="A36" s="5">
        <v>271</v>
      </c>
      <c r="B36" s="6" t="s">
        <v>59</v>
      </c>
      <c r="C36" s="7">
        <v>3500</v>
      </c>
      <c r="D36" s="7">
        <v>419.88</v>
      </c>
      <c r="E36" s="8">
        <f t="shared" si="3"/>
        <v>2519.2799999999997</v>
      </c>
      <c r="F36" s="8">
        <f>D4</f>
        <v>419.88</v>
      </c>
      <c r="G36" s="9">
        <f t="shared" si="4"/>
        <v>2939.16</v>
      </c>
      <c r="H36" s="37">
        <v>3170.2</v>
      </c>
      <c r="I36" s="10">
        <v>225</v>
      </c>
      <c r="J36" s="10">
        <v>105</v>
      </c>
      <c r="K36" s="21"/>
      <c r="L36" s="19"/>
      <c r="M36" s="22">
        <f>C36-H36-I36+L36-K36-J36+0.2</f>
        <v>1.819100425848319E-13</v>
      </c>
      <c r="N36" s="14">
        <f t="shared" si="0"/>
        <v>3170.2</v>
      </c>
      <c r="O36" s="5">
        <v>0.03</v>
      </c>
      <c r="P36" s="33">
        <f t="shared" si="1"/>
        <v>1.8191004258483192E-14</v>
      </c>
      <c r="Q36" s="33">
        <f t="shared" si="2"/>
        <v>1.9646284599161848E-14</v>
      </c>
    </row>
    <row r="37" spans="1:17" s="55" customFormat="1" x14ac:dyDescent="0.25">
      <c r="A37" s="5">
        <v>275</v>
      </c>
      <c r="B37" s="6" t="s">
        <v>60</v>
      </c>
      <c r="C37" s="7">
        <v>3375</v>
      </c>
      <c r="D37" s="7">
        <v>419.88</v>
      </c>
      <c r="E37" s="8">
        <f t="shared" si="3"/>
        <v>2519.2799999999997</v>
      </c>
      <c r="F37" s="8">
        <f>D4</f>
        <v>419.88</v>
      </c>
      <c r="G37" s="9">
        <f t="shared" si="4"/>
        <v>2939.16</v>
      </c>
      <c r="H37" s="37">
        <v>3354.2</v>
      </c>
      <c r="I37" s="10"/>
      <c r="J37" s="10"/>
      <c r="K37" s="21"/>
      <c r="L37" s="19"/>
      <c r="M37" s="13">
        <f>C37-H37-I37+L37-K37-J37</f>
        <v>20.800000000000182</v>
      </c>
      <c r="N37" s="14">
        <f>H37+M37</f>
        <v>3375</v>
      </c>
      <c r="O37" s="5">
        <v>0.03</v>
      </c>
      <c r="P37" s="33">
        <f>+M37*0.1</f>
        <v>2.0800000000000183</v>
      </c>
      <c r="Q37" s="33">
        <f>+P37*1.08</f>
        <v>2.2464000000000199</v>
      </c>
    </row>
    <row r="38" spans="1:17" s="55" customFormat="1" x14ac:dyDescent="0.25">
      <c r="A38" s="5">
        <v>276</v>
      </c>
      <c r="B38" s="6" t="s">
        <v>61</v>
      </c>
      <c r="C38" s="7">
        <v>5000</v>
      </c>
      <c r="D38" s="7">
        <v>419.88</v>
      </c>
      <c r="E38" s="8">
        <f t="shared" si="3"/>
        <v>2519.2799999999997</v>
      </c>
      <c r="F38" s="8">
        <f>D4</f>
        <v>419.88</v>
      </c>
      <c r="G38" s="9">
        <f t="shared" si="4"/>
        <v>2939.16</v>
      </c>
      <c r="H38" s="37">
        <v>2903.2</v>
      </c>
      <c r="I38" s="10">
        <v>300</v>
      </c>
      <c r="J38" s="10"/>
      <c r="K38" s="11">
        <v>749.29</v>
      </c>
      <c r="L38" s="19"/>
      <c r="M38" s="13">
        <f>C38-H38-I38+L38-K38-J38</f>
        <v>1047.5100000000002</v>
      </c>
      <c r="N38" s="14">
        <f t="shared" si="0"/>
        <v>3950.71</v>
      </c>
      <c r="O38" s="5">
        <v>0.03</v>
      </c>
      <c r="P38" s="33">
        <f t="shared" si="1"/>
        <v>104.75100000000003</v>
      </c>
      <c r="Q38" s="33">
        <f t="shared" si="2"/>
        <v>113.13108000000004</v>
      </c>
    </row>
    <row r="39" spans="1:17" s="55" customFormat="1" x14ac:dyDescent="0.25">
      <c r="A39" s="5">
        <v>279</v>
      </c>
      <c r="B39" s="6" t="s">
        <v>63</v>
      </c>
      <c r="C39" s="7">
        <v>4500</v>
      </c>
      <c r="D39" s="7">
        <v>419.88</v>
      </c>
      <c r="E39" s="8">
        <f t="shared" si="3"/>
        <v>2519.2799999999997</v>
      </c>
      <c r="F39" s="8">
        <f>D4</f>
        <v>419.88</v>
      </c>
      <c r="G39" s="9">
        <f t="shared" si="4"/>
        <v>2939.16</v>
      </c>
      <c r="H39" s="37">
        <v>3354.2</v>
      </c>
      <c r="I39" s="10">
        <v>150</v>
      </c>
      <c r="J39" s="10">
        <v>105</v>
      </c>
      <c r="K39" s="21"/>
      <c r="L39" s="19"/>
      <c r="M39" s="22">
        <f>C39-H39-I39+L39-K39-J39</f>
        <v>890.80000000000018</v>
      </c>
      <c r="N39" s="14">
        <f t="shared" si="0"/>
        <v>4245</v>
      </c>
      <c r="O39" s="5" t="s">
        <v>118</v>
      </c>
      <c r="P39" s="33">
        <f t="shared" si="1"/>
        <v>89.080000000000027</v>
      </c>
      <c r="Q39" s="33">
        <f t="shared" si="2"/>
        <v>96.206400000000031</v>
      </c>
    </row>
    <row r="40" spans="1:17" s="55" customFormat="1" x14ac:dyDescent="0.25">
      <c r="A40" s="5">
        <v>280</v>
      </c>
      <c r="B40" s="6" t="s">
        <v>64</v>
      </c>
      <c r="C40" s="7">
        <v>5000</v>
      </c>
      <c r="D40" s="7">
        <v>419.88</v>
      </c>
      <c r="E40" s="8">
        <f t="shared" si="3"/>
        <v>2519.2799999999997</v>
      </c>
      <c r="F40" s="8">
        <f>D4</f>
        <v>419.88</v>
      </c>
      <c r="G40" s="9">
        <f t="shared" si="4"/>
        <v>2939.16</v>
      </c>
      <c r="H40" s="37">
        <v>3354.2</v>
      </c>
      <c r="I40" s="10"/>
      <c r="J40" s="10"/>
      <c r="K40" s="11"/>
      <c r="L40" s="19"/>
      <c r="M40" s="13">
        <f t="shared" si="5"/>
        <v>1645.8000000000002</v>
      </c>
      <c r="N40" s="14">
        <f t="shared" si="0"/>
        <v>5000</v>
      </c>
      <c r="O40" s="5" t="s">
        <v>119</v>
      </c>
      <c r="P40" s="33">
        <f t="shared" si="1"/>
        <v>164.58000000000004</v>
      </c>
      <c r="Q40" s="33">
        <f t="shared" si="2"/>
        <v>177.74640000000005</v>
      </c>
    </row>
    <row r="41" spans="1:17" s="55" customFormat="1" x14ac:dyDescent="0.25">
      <c r="A41" s="5">
        <v>281</v>
      </c>
      <c r="B41" s="6" t="s">
        <v>65</v>
      </c>
      <c r="C41" s="7">
        <v>8750</v>
      </c>
      <c r="D41" s="7">
        <v>419.88</v>
      </c>
      <c r="E41" s="8">
        <f t="shared" si="3"/>
        <v>2519.2799999999997</v>
      </c>
      <c r="F41" s="8">
        <f>D4</f>
        <v>419.88</v>
      </c>
      <c r="G41" s="9">
        <f t="shared" si="4"/>
        <v>2939.16</v>
      </c>
      <c r="H41" s="37">
        <v>3354.2</v>
      </c>
      <c r="I41" s="10"/>
      <c r="J41" s="10"/>
      <c r="K41" s="11"/>
      <c r="L41" s="19"/>
      <c r="M41" s="13">
        <f t="shared" si="5"/>
        <v>5395.8</v>
      </c>
      <c r="N41" s="14">
        <f t="shared" si="0"/>
        <v>8750</v>
      </c>
      <c r="O41" s="5">
        <v>0.03</v>
      </c>
      <c r="P41" s="33">
        <f t="shared" si="1"/>
        <v>539.58000000000004</v>
      </c>
      <c r="Q41" s="33">
        <f t="shared" si="2"/>
        <v>582.74640000000011</v>
      </c>
    </row>
    <row r="42" spans="1:17" s="55" customFormat="1" x14ac:dyDescent="0.25">
      <c r="A42" s="5">
        <v>283</v>
      </c>
      <c r="B42" s="6" t="s">
        <v>66</v>
      </c>
      <c r="C42" s="7">
        <v>5000</v>
      </c>
      <c r="D42" s="7">
        <v>419.88</v>
      </c>
      <c r="E42" s="8">
        <f t="shared" si="3"/>
        <v>2519.2799999999997</v>
      </c>
      <c r="F42" s="8">
        <f>D4</f>
        <v>419.88</v>
      </c>
      <c r="G42" s="9">
        <f t="shared" si="4"/>
        <v>2939.16</v>
      </c>
      <c r="H42" s="37">
        <v>3354.2</v>
      </c>
      <c r="I42" s="10"/>
      <c r="J42" s="10">
        <v>70</v>
      </c>
      <c r="K42" s="21"/>
      <c r="L42" s="12">
        <v>550.07000000000005</v>
      </c>
      <c r="M42" s="13">
        <f t="shared" si="5"/>
        <v>2125.8700000000003</v>
      </c>
      <c r="N42" s="14">
        <f t="shared" si="0"/>
        <v>5480.07</v>
      </c>
      <c r="O42" s="5">
        <v>0.03</v>
      </c>
      <c r="P42" s="33">
        <f t="shared" si="1"/>
        <v>212.58700000000005</v>
      </c>
      <c r="Q42" s="33">
        <f t="shared" si="2"/>
        <v>229.59396000000007</v>
      </c>
    </row>
    <row r="43" spans="1:17" s="55" customFormat="1" x14ac:dyDescent="0.25">
      <c r="A43" s="5">
        <v>284</v>
      </c>
      <c r="B43" s="6" t="s">
        <v>67</v>
      </c>
      <c r="C43" s="7">
        <v>4000</v>
      </c>
      <c r="D43" s="7">
        <v>419.88</v>
      </c>
      <c r="E43" s="8">
        <f t="shared" si="3"/>
        <v>2519.2799999999997</v>
      </c>
      <c r="F43" s="8">
        <f>D4</f>
        <v>419.88</v>
      </c>
      <c r="G43" s="9">
        <f t="shared" si="4"/>
        <v>2939.16</v>
      </c>
      <c r="H43" s="37">
        <v>3354.2</v>
      </c>
      <c r="I43" s="10">
        <v>225</v>
      </c>
      <c r="J43" s="10">
        <v>175</v>
      </c>
      <c r="K43" s="11"/>
      <c r="L43" s="19"/>
      <c r="M43" s="13">
        <f t="shared" si="5"/>
        <v>245.80000000000018</v>
      </c>
      <c r="N43" s="14">
        <f t="shared" si="0"/>
        <v>3600</v>
      </c>
      <c r="O43" s="5" t="s">
        <v>48</v>
      </c>
      <c r="P43" s="33">
        <f t="shared" si="1"/>
        <v>24.58000000000002</v>
      </c>
      <c r="Q43" s="33">
        <f t="shared" si="2"/>
        <v>26.546400000000023</v>
      </c>
    </row>
    <row r="44" spans="1:17" s="55" customFormat="1" x14ac:dyDescent="0.25">
      <c r="A44" s="5">
        <v>285</v>
      </c>
      <c r="B44" s="6" t="s">
        <v>68</v>
      </c>
      <c r="C44" s="7">
        <v>4000</v>
      </c>
      <c r="D44" s="7">
        <v>419.88</v>
      </c>
      <c r="E44" s="8">
        <f t="shared" si="3"/>
        <v>2519.2799999999997</v>
      </c>
      <c r="F44" s="8">
        <f>D4</f>
        <v>419.88</v>
      </c>
      <c r="G44" s="9">
        <f t="shared" si="4"/>
        <v>2939.16</v>
      </c>
      <c r="H44" s="37">
        <v>2879.2</v>
      </c>
      <c r="I44" s="10">
        <v>225</v>
      </c>
      <c r="J44" s="10">
        <v>105</v>
      </c>
      <c r="K44" s="21">
        <v>587.87</v>
      </c>
      <c r="L44" s="19"/>
      <c r="M44" s="13">
        <f>C44-H44-I44+L44-K44-J44</f>
        <v>202.93000000000018</v>
      </c>
      <c r="N44" s="14">
        <f t="shared" si="0"/>
        <v>3082.13</v>
      </c>
      <c r="O44" s="5" t="s">
        <v>48</v>
      </c>
      <c r="P44" s="33">
        <f t="shared" si="1"/>
        <v>20.293000000000021</v>
      </c>
      <c r="Q44" s="33">
        <f t="shared" si="2"/>
        <v>21.916440000000023</v>
      </c>
    </row>
    <row r="45" spans="1:17" s="55" customFormat="1" x14ac:dyDescent="0.25">
      <c r="A45" s="5">
        <v>286</v>
      </c>
      <c r="B45" s="6" t="s">
        <v>69</v>
      </c>
      <c r="C45" s="7">
        <v>4000</v>
      </c>
      <c r="D45" s="7">
        <v>419.88</v>
      </c>
      <c r="E45" s="8">
        <f t="shared" si="3"/>
        <v>2519.2799999999997</v>
      </c>
      <c r="F45" s="8">
        <f>D4</f>
        <v>419.88</v>
      </c>
      <c r="G45" s="9">
        <f t="shared" si="4"/>
        <v>2939.16</v>
      </c>
      <c r="H45" s="37">
        <v>3296.6</v>
      </c>
      <c r="I45" s="10">
        <v>300</v>
      </c>
      <c r="J45" s="10"/>
      <c r="K45" s="11">
        <v>251.4</v>
      </c>
      <c r="L45" s="19"/>
      <c r="M45" s="13">
        <f t="shared" si="5"/>
        <v>152.00000000000009</v>
      </c>
      <c r="N45" s="14">
        <f t="shared" si="0"/>
        <v>3448.6</v>
      </c>
      <c r="O45" s="5" t="s">
        <v>118</v>
      </c>
      <c r="P45" s="33">
        <f t="shared" si="1"/>
        <v>15.20000000000001</v>
      </c>
      <c r="Q45" s="33">
        <f t="shared" si="2"/>
        <v>16.416000000000011</v>
      </c>
    </row>
    <row r="46" spans="1:17" s="55" customFormat="1" x14ac:dyDescent="0.25">
      <c r="A46" s="5">
        <v>287</v>
      </c>
      <c r="B46" s="6" t="s">
        <v>72</v>
      </c>
      <c r="C46" s="7">
        <v>5000</v>
      </c>
      <c r="D46" s="7">
        <v>419.88</v>
      </c>
      <c r="E46" s="8">
        <f t="shared" si="3"/>
        <v>2519.2799999999997</v>
      </c>
      <c r="F46" s="8">
        <f>D4</f>
        <v>419.88</v>
      </c>
      <c r="G46" s="9">
        <f t="shared" si="4"/>
        <v>2939.16</v>
      </c>
      <c r="H46" s="37">
        <v>3120.2</v>
      </c>
      <c r="I46" s="10">
        <v>225</v>
      </c>
      <c r="J46" s="10">
        <v>140</v>
      </c>
      <c r="K46" s="21">
        <v>293.92</v>
      </c>
      <c r="L46" s="19"/>
      <c r="M46" s="13">
        <f>C46-H46-I46+L46-K46-J46</f>
        <v>1220.8800000000001</v>
      </c>
      <c r="N46" s="14">
        <f t="shared" si="0"/>
        <v>4341.08</v>
      </c>
      <c r="O46" s="5" t="s">
        <v>118</v>
      </c>
      <c r="P46" s="33">
        <f t="shared" si="1"/>
        <v>122.08800000000002</v>
      </c>
      <c r="Q46" s="33">
        <f t="shared" si="2"/>
        <v>131.85504000000003</v>
      </c>
    </row>
    <row r="47" spans="1:17" s="55" customFormat="1" x14ac:dyDescent="0.25">
      <c r="A47" s="5">
        <v>288</v>
      </c>
      <c r="B47" s="6" t="s">
        <v>73</v>
      </c>
      <c r="C47" s="7">
        <v>3500</v>
      </c>
      <c r="D47" s="7">
        <v>419.88</v>
      </c>
      <c r="E47" s="8">
        <f t="shared" si="3"/>
        <v>2519.2799999999997</v>
      </c>
      <c r="F47" s="8">
        <f>D4</f>
        <v>419.88</v>
      </c>
      <c r="G47" s="9">
        <f t="shared" si="4"/>
        <v>2939.16</v>
      </c>
      <c r="H47" s="37">
        <v>3354.2</v>
      </c>
      <c r="I47" s="10"/>
      <c r="J47" s="10"/>
      <c r="K47" s="11"/>
      <c r="L47" s="19"/>
      <c r="M47" s="13">
        <f>C47-H47-I47+L47-K47-J47</f>
        <v>145.80000000000018</v>
      </c>
      <c r="N47" s="14">
        <f t="shared" si="0"/>
        <v>3500</v>
      </c>
      <c r="O47" s="5">
        <v>0.03</v>
      </c>
      <c r="P47" s="33">
        <f t="shared" si="1"/>
        <v>14.58000000000002</v>
      </c>
      <c r="Q47" s="33">
        <f t="shared" si="2"/>
        <v>15.746400000000023</v>
      </c>
    </row>
    <row r="48" spans="1:17" x14ac:dyDescent="0.25">
      <c r="A48" s="5">
        <v>289</v>
      </c>
      <c r="B48" s="6" t="s">
        <v>74</v>
      </c>
      <c r="C48" s="7">
        <v>3500</v>
      </c>
      <c r="D48" s="7">
        <v>419.88</v>
      </c>
      <c r="E48" s="8">
        <f t="shared" si="3"/>
        <v>2519.2799999999997</v>
      </c>
      <c r="F48" s="8">
        <f>D4</f>
        <v>419.88</v>
      </c>
      <c r="G48" s="9">
        <f t="shared" si="4"/>
        <v>2939.16</v>
      </c>
      <c r="H48" s="37">
        <v>3354.2</v>
      </c>
      <c r="I48" s="10"/>
      <c r="J48" s="10"/>
      <c r="K48" s="11"/>
      <c r="L48" s="19"/>
      <c r="M48" s="13">
        <f t="shared" si="5"/>
        <v>145.80000000000018</v>
      </c>
      <c r="N48" s="14">
        <f t="shared" si="0"/>
        <v>3500</v>
      </c>
      <c r="O48" s="5">
        <v>0.03</v>
      </c>
      <c r="P48" s="33">
        <f t="shared" si="1"/>
        <v>14.58000000000002</v>
      </c>
      <c r="Q48" s="33">
        <f t="shared" si="2"/>
        <v>15.746400000000023</v>
      </c>
    </row>
    <row r="49" spans="1:17" x14ac:dyDescent="0.25">
      <c r="A49" s="5">
        <v>291</v>
      </c>
      <c r="B49" s="6" t="s">
        <v>78</v>
      </c>
      <c r="C49" s="7">
        <v>4250</v>
      </c>
      <c r="D49" s="7">
        <v>419.88</v>
      </c>
      <c r="E49" s="8">
        <f t="shared" si="3"/>
        <v>2519.2799999999997</v>
      </c>
      <c r="F49" s="8">
        <f>D4</f>
        <v>419.88</v>
      </c>
      <c r="G49" s="9">
        <f t="shared" si="4"/>
        <v>2939.16</v>
      </c>
      <c r="H49" s="37">
        <v>3354.4</v>
      </c>
      <c r="I49" s="10">
        <v>75</v>
      </c>
      <c r="J49" s="10"/>
      <c r="K49" s="11"/>
      <c r="L49" s="19"/>
      <c r="M49" s="13">
        <f t="shared" si="5"/>
        <v>820.59999999999991</v>
      </c>
      <c r="N49" s="14">
        <f t="shared" si="0"/>
        <v>4175</v>
      </c>
      <c r="O49" s="5">
        <v>0.03</v>
      </c>
      <c r="P49" s="33">
        <f t="shared" si="1"/>
        <v>82.06</v>
      </c>
      <c r="Q49" s="33">
        <f t="shared" si="2"/>
        <v>88.624800000000008</v>
      </c>
    </row>
    <row r="50" spans="1:17" x14ac:dyDescent="0.25">
      <c r="A50" s="5">
        <v>293</v>
      </c>
      <c r="B50" s="6" t="s">
        <v>89</v>
      </c>
      <c r="C50" s="7">
        <v>4000</v>
      </c>
      <c r="D50" s="7">
        <v>419.88</v>
      </c>
      <c r="E50" s="8">
        <f t="shared" si="3"/>
        <v>2519.2799999999997</v>
      </c>
      <c r="F50" s="8">
        <f>D4</f>
        <v>419.88</v>
      </c>
      <c r="G50" s="9">
        <f t="shared" si="4"/>
        <v>2939.16</v>
      </c>
      <c r="H50" s="37">
        <v>3296.6</v>
      </c>
      <c r="I50" s="10">
        <v>300</v>
      </c>
      <c r="J50" s="10">
        <v>105</v>
      </c>
      <c r="K50" s="11">
        <v>251.4</v>
      </c>
      <c r="L50" s="12"/>
      <c r="M50" s="13">
        <f t="shared" si="5"/>
        <v>47.000000000000085</v>
      </c>
      <c r="N50" s="14">
        <f t="shared" si="0"/>
        <v>3343.6</v>
      </c>
      <c r="O50" s="5">
        <v>0.03</v>
      </c>
      <c r="P50" s="33">
        <f t="shared" si="1"/>
        <v>4.7000000000000091</v>
      </c>
      <c r="Q50" s="33">
        <f t="shared" si="2"/>
        <v>5.0760000000000103</v>
      </c>
    </row>
    <row r="51" spans="1:17" x14ac:dyDescent="0.25">
      <c r="A51" s="5">
        <v>294</v>
      </c>
      <c r="B51" s="6" t="s">
        <v>91</v>
      </c>
      <c r="C51" s="7">
        <v>4000</v>
      </c>
      <c r="D51" s="7">
        <v>419.88</v>
      </c>
      <c r="E51" s="8">
        <f t="shared" si="3"/>
        <v>2519.2799999999997</v>
      </c>
      <c r="F51" s="8">
        <f>D4</f>
        <v>419.88</v>
      </c>
      <c r="G51" s="9">
        <f t="shared" si="4"/>
        <v>2939.16</v>
      </c>
      <c r="H51" s="37">
        <v>3354.2</v>
      </c>
      <c r="I51" s="10">
        <v>300</v>
      </c>
      <c r="J51" s="10">
        <v>105</v>
      </c>
      <c r="K51" s="21"/>
      <c r="L51" s="12"/>
      <c r="M51" s="13">
        <f t="shared" si="5"/>
        <v>240.80000000000018</v>
      </c>
      <c r="N51" s="14">
        <f t="shared" si="0"/>
        <v>3595</v>
      </c>
      <c r="O51" s="5">
        <v>0.03</v>
      </c>
      <c r="P51" s="33">
        <f t="shared" si="1"/>
        <v>24.08000000000002</v>
      </c>
      <c r="Q51" s="33">
        <f t="shared" si="2"/>
        <v>26.006400000000024</v>
      </c>
    </row>
    <row r="52" spans="1:17" x14ac:dyDescent="0.25">
      <c r="A52" s="5">
        <v>295</v>
      </c>
      <c r="B52" s="6" t="s">
        <v>104</v>
      </c>
      <c r="C52" s="7">
        <v>5500</v>
      </c>
      <c r="D52" s="7">
        <v>419.88</v>
      </c>
      <c r="E52" s="8">
        <f t="shared" si="3"/>
        <v>2519.2799999999997</v>
      </c>
      <c r="F52" s="8">
        <f>D4</f>
        <v>419.88</v>
      </c>
      <c r="G52" s="9">
        <f t="shared" si="4"/>
        <v>2939.16</v>
      </c>
      <c r="H52" s="37">
        <v>3354.4</v>
      </c>
      <c r="I52" s="10">
        <v>300</v>
      </c>
      <c r="J52" s="10">
        <v>140</v>
      </c>
      <c r="K52" s="21"/>
      <c r="L52" s="12"/>
      <c r="M52" s="22">
        <f t="shared" si="5"/>
        <v>1705.6</v>
      </c>
      <c r="N52" s="14">
        <f t="shared" si="0"/>
        <v>5060</v>
      </c>
      <c r="O52" s="5" t="s">
        <v>118</v>
      </c>
      <c r="P52" s="33">
        <f t="shared" si="1"/>
        <v>170.56</v>
      </c>
      <c r="Q52" s="33">
        <f t="shared" si="2"/>
        <v>184.20480000000001</v>
      </c>
    </row>
    <row r="53" spans="1:17" x14ac:dyDescent="0.25">
      <c r="A53" s="5">
        <v>298</v>
      </c>
      <c r="B53" s="6" t="s">
        <v>115</v>
      </c>
      <c r="C53" s="7">
        <v>5000</v>
      </c>
      <c r="D53" s="7">
        <v>419.88</v>
      </c>
      <c r="E53" s="8">
        <f t="shared" si="3"/>
        <v>2519.2799999999997</v>
      </c>
      <c r="F53" s="8">
        <f>D4</f>
        <v>419.88</v>
      </c>
      <c r="G53" s="9">
        <f t="shared" si="4"/>
        <v>2939.16</v>
      </c>
      <c r="H53" s="37">
        <v>1822.4</v>
      </c>
      <c r="I53" s="10">
        <v>300</v>
      </c>
      <c r="J53" s="10">
        <v>70</v>
      </c>
      <c r="K53" s="16">
        <f>1461.94</f>
        <v>1461.94</v>
      </c>
      <c r="L53" s="12">
        <v>5000</v>
      </c>
      <c r="M53" s="22">
        <f t="shared" si="5"/>
        <v>6345.66</v>
      </c>
      <c r="N53" s="14">
        <f t="shared" si="0"/>
        <v>8168.0599999999995</v>
      </c>
      <c r="O53" s="5">
        <v>0.03</v>
      </c>
      <c r="P53" s="33">
        <f t="shared" si="1"/>
        <v>634.56600000000003</v>
      </c>
      <c r="Q53" s="33">
        <f t="shared" si="2"/>
        <v>685.33128000000011</v>
      </c>
    </row>
    <row r="54" spans="1:17" x14ac:dyDescent="0.25">
      <c r="A54" s="42">
        <v>299</v>
      </c>
      <c r="B54" s="43" t="s">
        <v>116</v>
      </c>
      <c r="C54" s="44">
        <v>4000</v>
      </c>
      <c r="D54" s="44">
        <v>419.88</v>
      </c>
      <c r="E54" s="45">
        <f t="shared" si="3"/>
        <v>2519.2799999999997</v>
      </c>
      <c r="F54" s="45">
        <f>D4</f>
        <v>419.88</v>
      </c>
      <c r="G54" s="46">
        <f t="shared" si="4"/>
        <v>2939.16</v>
      </c>
      <c r="H54" s="47">
        <v>5667.8</v>
      </c>
      <c r="I54" s="10"/>
      <c r="J54" s="10">
        <v>140</v>
      </c>
      <c r="K54" s="49"/>
      <c r="L54" s="50"/>
      <c r="M54" s="51"/>
      <c r="N54" s="52">
        <f t="shared" si="0"/>
        <v>5667.8</v>
      </c>
      <c r="O54" s="42">
        <v>0.03</v>
      </c>
      <c r="P54" s="54">
        <f t="shared" si="1"/>
        <v>0</v>
      </c>
      <c r="Q54" s="54">
        <f t="shared" si="2"/>
        <v>0</v>
      </c>
    </row>
    <row r="55" spans="1:17" x14ac:dyDescent="0.25">
      <c r="A55" s="5">
        <v>300</v>
      </c>
      <c r="B55" s="6" t="s">
        <v>121</v>
      </c>
      <c r="C55" s="7">
        <v>6250</v>
      </c>
      <c r="D55" s="7">
        <v>419.88</v>
      </c>
      <c r="E55" s="8">
        <f t="shared" si="3"/>
        <v>2519.2799999999997</v>
      </c>
      <c r="F55" s="8">
        <f>D4</f>
        <v>419.88</v>
      </c>
      <c r="G55" s="9">
        <f t="shared" si="4"/>
        <v>2939.16</v>
      </c>
      <c r="H55" s="37">
        <v>3354.4</v>
      </c>
      <c r="I55" s="10"/>
      <c r="J55" s="10"/>
      <c r="K55" s="11"/>
      <c r="L55" s="12">
        <v>5000</v>
      </c>
      <c r="M55" s="22">
        <f t="shared" si="5"/>
        <v>7895.6</v>
      </c>
      <c r="N55" s="14">
        <f t="shared" si="0"/>
        <v>11250</v>
      </c>
      <c r="O55" s="5">
        <v>0.03</v>
      </c>
      <c r="P55" s="33">
        <f t="shared" si="1"/>
        <v>789.56000000000006</v>
      </c>
      <c r="Q55" s="33">
        <f t="shared" si="2"/>
        <v>852.72480000000007</v>
      </c>
    </row>
    <row r="56" spans="1:17" x14ac:dyDescent="0.25">
      <c r="A56" s="5">
        <v>301</v>
      </c>
      <c r="B56" s="6" t="s">
        <v>124</v>
      </c>
      <c r="C56" s="7">
        <v>5000</v>
      </c>
      <c r="D56" s="7">
        <v>419.88</v>
      </c>
      <c r="E56" s="8">
        <f t="shared" si="3"/>
        <v>2519.2799999999997</v>
      </c>
      <c r="F56" s="8">
        <f>D4</f>
        <v>419.88</v>
      </c>
      <c r="G56" s="9">
        <f t="shared" si="4"/>
        <v>2939.16</v>
      </c>
      <c r="H56" s="37">
        <v>3354.4</v>
      </c>
      <c r="I56" s="10"/>
      <c r="J56" s="10"/>
      <c r="K56" s="11"/>
      <c r="L56" s="12"/>
      <c r="M56" s="22">
        <f t="shared" si="5"/>
        <v>1645.6</v>
      </c>
      <c r="N56" s="14">
        <f t="shared" si="0"/>
        <v>5000</v>
      </c>
      <c r="O56" s="5">
        <v>0.03</v>
      </c>
      <c r="P56" s="33">
        <f t="shared" si="1"/>
        <v>164.56</v>
      </c>
      <c r="Q56" s="33">
        <f t="shared" si="2"/>
        <v>177.72480000000002</v>
      </c>
    </row>
    <row r="57" spans="1:17" x14ac:dyDescent="0.25">
      <c r="A57" s="5">
        <v>302</v>
      </c>
      <c r="B57" s="6" t="s">
        <v>128</v>
      </c>
      <c r="C57" s="7">
        <v>5000</v>
      </c>
      <c r="D57" s="7">
        <v>419.88</v>
      </c>
      <c r="E57" s="8">
        <f t="shared" si="3"/>
        <v>2519.2799999999997</v>
      </c>
      <c r="F57" s="8">
        <f>D4</f>
        <v>419.88</v>
      </c>
      <c r="G57" s="9">
        <f t="shared" si="4"/>
        <v>2939.16</v>
      </c>
      <c r="H57" s="37">
        <v>3296.6</v>
      </c>
      <c r="I57" s="10">
        <v>75</v>
      </c>
      <c r="J57" s="10">
        <v>35</v>
      </c>
      <c r="K57" s="11">
        <v>314.29000000000002</v>
      </c>
      <c r="L57" s="12"/>
      <c r="M57" s="22">
        <f t="shared" si="5"/>
        <v>1279.1100000000001</v>
      </c>
      <c r="N57" s="14">
        <f t="shared" si="0"/>
        <v>4575.71</v>
      </c>
      <c r="O57" s="5">
        <v>0.03</v>
      </c>
      <c r="P57" s="33">
        <f t="shared" si="1"/>
        <v>127.91100000000002</v>
      </c>
      <c r="Q57" s="33">
        <f t="shared" si="2"/>
        <v>138.14388000000002</v>
      </c>
    </row>
    <row r="58" spans="1:17" x14ac:dyDescent="0.25">
      <c r="A58" s="5">
        <v>303</v>
      </c>
      <c r="B58" s="6" t="s">
        <v>129</v>
      </c>
      <c r="C58" s="7">
        <v>3500</v>
      </c>
      <c r="D58" s="7">
        <v>419.88</v>
      </c>
      <c r="E58" s="8">
        <f t="shared" si="3"/>
        <v>2519.2799999999997</v>
      </c>
      <c r="F58" s="8">
        <f>D4</f>
        <v>419.88</v>
      </c>
      <c r="G58" s="9">
        <f t="shared" si="4"/>
        <v>2939.16</v>
      </c>
      <c r="H58" s="37">
        <v>3275</v>
      </c>
      <c r="I58" s="10">
        <v>225</v>
      </c>
      <c r="J58" s="10"/>
      <c r="K58" s="11"/>
      <c r="L58" s="12"/>
      <c r="M58" s="22">
        <f>C58-H58-I58+L58-K58-J58</f>
        <v>0</v>
      </c>
      <c r="N58" s="14">
        <f t="shared" si="0"/>
        <v>3275</v>
      </c>
      <c r="O58" s="5">
        <v>0.03</v>
      </c>
      <c r="P58" s="33">
        <f t="shared" si="1"/>
        <v>0</v>
      </c>
      <c r="Q58" s="33">
        <f t="shared" si="2"/>
        <v>0</v>
      </c>
    </row>
    <row r="59" spans="1:17" x14ac:dyDescent="0.25">
      <c r="A59" s="5">
        <v>304</v>
      </c>
      <c r="B59" s="6" t="s">
        <v>131</v>
      </c>
      <c r="C59" s="7">
        <v>4500</v>
      </c>
      <c r="D59" s="7">
        <v>419.88</v>
      </c>
      <c r="E59" s="8">
        <f t="shared" si="3"/>
        <v>2519.2799999999997</v>
      </c>
      <c r="F59" s="8">
        <f>D4</f>
        <v>419.88</v>
      </c>
      <c r="G59" s="9">
        <f t="shared" si="4"/>
        <v>2939.16</v>
      </c>
      <c r="H59" s="37">
        <v>3354.4</v>
      </c>
      <c r="I59" s="10">
        <v>225</v>
      </c>
      <c r="J59" s="10">
        <v>210</v>
      </c>
      <c r="K59" s="11"/>
      <c r="L59" s="12"/>
      <c r="M59" s="22">
        <f>C59-H59-I59+L59-K59-J59</f>
        <v>710.59999999999991</v>
      </c>
      <c r="N59" s="14">
        <f t="shared" si="0"/>
        <v>4065</v>
      </c>
      <c r="O59" s="5">
        <v>0.03</v>
      </c>
      <c r="P59" s="33">
        <f t="shared" si="1"/>
        <v>71.059999999999988</v>
      </c>
      <c r="Q59" s="33">
        <f t="shared" si="2"/>
        <v>76.744799999999998</v>
      </c>
    </row>
    <row r="60" spans="1:17" x14ac:dyDescent="0.25">
      <c r="A60" s="5">
        <v>305</v>
      </c>
      <c r="B60" s="6" t="s">
        <v>132</v>
      </c>
      <c r="C60" s="7">
        <v>4000</v>
      </c>
      <c r="D60" s="7">
        <v>419.88</v>
      </c>
      <c r="E60" s="8">
        <f t="shared" si="3"/>
        <v>2519.2799999999997</v>
      </c>
      <c r="F60" s="8">
        <f>D4</f>
        <v>419.88</v>
      </c>
      <c r="G60" s="9">
        <f t="shared" si="4"/>
        <v>2939.16</v>
      </c>
      <c r="H60" s="37">
        <f>C60-I60-J60</f>
        <v>3525</v>
      </c>
      <c r="I60" s="10">
        <v>300</v>
      </c>
      <c r="J60" s="10">
        <v>175</v>
      </c>
      <c r="K60" s="11"/>
      <c r="L60" s="12"/>
      <c r="M60" s="22"/>
      <c r="N60" s="14">
        <f t="shared" si="0"/>
        <v>3525</v>
      </c>
      <c r="O60" s="5">
        <v>0.03</v>
      </c>
      <c r="P60" s="33">
        <f t="shared" si="1"/>
        <v>0</v>
      </c>
      <c r="Q60" s="33">
        <f t="shared" si="2"/>
        <v>0</v>
      </c>
    </row>
    <row r="61" spans="1:17" x14ac:dyDescent="0.25">
      <c r="A61" s="5">
        <v>306</v>
      </c>
      <c r="B61" s="6" t="s">
        <v>136</v>
      </c>
      <c r="C61" s="7">
        <v>4000</v>
      </c>
      <c r="D61" s="7">
        <v>419.88</v>
      </c>
      <c r="E61" s="8">
        <f t="shared" si="3"/>
        <v>2519.2799999999997</v>
      </c>
      <c r="F61" s="8">
        <f>D4</f>
        <v>419.88</v>
      </c>
      <c r="G61" s="9">
        <f t="shared" si="4"/>
        <v>2939.16</v>
      </c>
      <c r="H61" s="115">
        <v>3354.4</v>
      </c>
      <c r="I61" s="10">
        <v>300</v>
      </c>
      <c r="J61" s="10">
        <v>35</v>
      </c>
      <c r="K61" s="11"/>
      <c r="L61" s="12"/>
      <c r="M61" s="22">
        <f>C61-H61-I61+L61-K61-J61</f>
        <v>310.59999999999991</v>
      </c>
      <c r="N61" s="14">
        <f t="shared" si="0"/>
        <v>3665</v>
      </c>
      <c r="O61" s="5">
        <v>0.03</v>
      </c>
      <c r="P61" s="33">
        <f t="shared" si="1"/>
        <v>31.059999999999992</v>
      </c>
      <c r="Q61" s="33">
        <f t="shared" si="2"/>
        <v>33.544799999999995</v>
      </c>
    </row>
    <row r="62" spans="1:17" x14ac:dyDescent="0.25">
      <c r="A62" s="5">
        <v>307</v>
      </c>
      <c r="B62" s="6" t="s">
        <v>140</v>
      </c>
      <c r="C62" s="7">
        <v>4000</v>
      </c>
      <c r="D62" s="7">
        <v>419.88</v>
      </c>
      <c r="E62" s="8">
        <f t="shared" si="3"/>
        <v>2519.2799999999997</v>
      </c>
      <c r="F62" s="8">
        <f>D4</f>
        <v>419.88</v>
      </c>
      <c r="G62" s="9">
        <f t="shared" si="4"/>
        <v>2939.16</v>
      </c>
      <c r="H62" s="115">
        <v>3354.4</v>
      </c>
      <c r="I62" s="10">
        <v>300</v>
      </c>
      <c r="J62" s="10">
        <v>105</v>
      </c>
      <c r="K62" s="11"/>
      <c r="L62" s="12"/>
      <c r="M62" s="22">
        <f>C62-H62-I62+L62-K62-J62</f>
        <v>240.59999999999991</v>
      </c>
      <c r="N62" s="14">
        <f t="shared" si="0"/>
        <v>3595</v>
      </c>
      <c r="O62" s="5">
        <v>0.03</v>
      </c>
      <c r="P62" s="33">
        <f t="shared" si="1"/>
        <v>24.059999999999992</v>
      </c>
      <c r="Q62" s="33">
        <f t="shared" si="2"/>
        <v>25.984799999999993</v>
      </c>
    </row>
    <row r="63" spans="1:17" x14ac:dyDescent="0.25">
      <c r="A63" s="5">
        <v>308</v>
      </c>
      <c r="B63" s="6" t="s">
        <v>138</v>
      </c>
      <c r="C63" s="7">
        <v>2700</v>
      </c>
      <c r="D63" s="7">
        <v>420.88</v>
      </c>
      <c r="E63" s="8">
        <f t="shared" si="3"/>
        <v>2525.2799999999997</v>
      </c>
      <c r="F63" s="8">
        <f>D4</f>
        <v>419.88</v>
      </c>
      <c r="G63" s="9">
        <f t="shared" si="4"/>
        <v>2945.16</v>
      </c>
      <c r="H63" s="115">
        <v>2560</v>
      </c>
      <c r="I63" s="10"/>
      <c r="J63" s="10">
        <v>140</v>
      </c>
      <c r="K63" s="11"/>
      <c r="L63" s="12"/>
      <c r="M63" s="22">
        <f>C63-H63-I63+L63-K63-J63</f>
        <v>0</v>
      </c>
      <c r="N63" s="14">
        <f t="shared" si="0"/>
        <v>2560</v>
      </c>
      <c r="O63" s="5">
        <v>0.03</v>
      </c>
      <c r="P63" s="33">
        <f t="shared" si="1"/>
        <v>0</v>
      </c>
      <c r="Q63" s="33">
        <f t="shared" si="2"/>
        <v>0</v>
      </c>
    </row>
    <row r="64" spans="1:17" ht="16.149999999999999" customHeight="1" thickBot="1" x14ac:dyDescent="0.3"/>
    <row r="65" spans="1:18" ht="18" thickBot="1" x14ac:dyDescent="0.35">
      <c r="A65" s="23"/>
      <c r="B65" s="24"/>
      <c r="C65" s="25">
        <f>SUM(C4:C64)</f>
        <v>295575</v>
      </c>
      <c r="D65" s="25">
        <f t="shared" ref="D65:J65" si="6">SUM(D4:D64)</f>
        <v>25193.800000000007</v>
      </c>
      <c r="E65" s="25">
        <f t="shared" si="6"/>
        <v>148643.51999999996</v>
      </c>
      <c r="F65" s="25">
        <f t="shared" si="6"/>
        <v>24772.920000000006</v>
      </c>
      <c r="G65" s="25">
        <f t="shared" si="6"/>
        <v>173416.44000000015</v>
      </c>
      <c r="H65" s="118">
        <f>SUM(H4:H64)</f>
        <v>188600.79999999996</v>
      </c>
      <c r="I65" s="26">
        <f t="shared" si="6"/>
        <v>9900</v>
      </c>
      <c r="J65" s="26">
        <f t="shared" si="6"/>
        <v>4375</v>
      </c>
      <c r="K65" s="26">
        <f>SUM(K4:K64)</f>
        <v>15831.660000000002</v>
      </c>
      <c r="L65" s="27">
        <f>SUM(L4:L64)</f>
        <v>19657.21</v>
      </c>
      <c r="M65" s="25">
        <f>SUM(M4:M64)</f>
        <v>98332.750000000044</v>
      </c>
      <c r="N65" s="25">
        <f>SUM(N4:N64)</f>
        <v>286933.55000000005</v>
      </c>
      <c r="P65" s="25">
        <f>SUM(P4:P64)</f>
        <v>9833.2749999999978</v>
      </c>
      <c r="Q65" s="25">
        <f>SUM(Q4:Q64)</f>
        <v>10619.937</v>
      </c>
      <c r="R65" s="55">
        <f>+N65+Q65</f>
        <v>297553.48700000002</v>
      </c>
    </row>
    <row r="66" spans="1:18" x14ac:dyDescent="0.25">
      <c r="I66" s="15">
        <f>I65/75</f>
        <v>132</v>
      </c>
      <c r="J66" s="15">
        <f>J65/35</f>
        <v>125</v>
      </c>
    </row>
  </sheetData>
  <autoFilter ref="A3:Q63" xr:uid="{00000000-0009-0000-0000-000019000000}"/>
  <mergeCells count="2">
    <mergeCell ref="A1:N1"/>
    <mergeCell ref="A2:N2"/>
  </mergeCells>
  <pageMargins left="0.25" right="0.25" top="0.75" bottom="0.75" header="0.3" footer="0.3"/>
  <pageSetup scale="48" fitToWidth="0" orientation="landscape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3902A-3600-427F-8AA2-756F3495E880}">
  <sheetPr codeName="Hoja39">
    <pageSetUpPr fitToPage="1"/>
  </sheetPr>
  <dimension ref="A1:R66"/>
  <sheetViews>
    <sheetView showGridLines="0" topLeftCell="A44" zoomScaleNormal="100" workbookViewId="0">
      <selection activeCell="I6" sqref="I6:J6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style="117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142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116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t="15.75" hidden="1" thickBot="1" x14ac:dyDescent="0.3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61" si="0">H4+M4</f>
        <v>0</v>
      </c>
      <c r="O4" s="81" t="s">
        <v>48</v>
      </c>
      <c r="P4" s="82">
        <f t="shared" ref="P4:P61" si="1">+M4*0.1</f>
        <v>0</v>
      </c>
      <c r="Q4" s="82">
        <f t="shared" ref="Q4:Q61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1" si="3">D5*6</f>
        <v>2519.2799999999997</v>
      </c>
      <c r="F5" s="8">
        <f t="shared" ref="F5:F63" si="4">$D$4</f>
        <v>419.88</v>
      </c>
      <c r="G5" s="9">
        <f t="shared" ref="G5:G61" si="5">E5+F5</f>
        <v>2939.16</v>
      </c>
      <c r="H5" s="37">
        <v>3354.4</v>
      </c>
      <c r="I5" s="10">
        <v>375</v>
      </c>
      <c r="J5" s="10"/>
      <c r="K5" s="11"/>
      <c r="L5" s="19"/>
      <c r="M5" s="13">
        <f>C5-H5-I5+L5-K5-J5</f>
        <v>270.59999999999991</v>
      </c>
      <c r="N5" s="14">
        <f t="shared" si="0"/>
        <v>3625</v>
      </c>
      <c r="O5" s="29" t="s">
        <v>47</v>
      </c>
      <c r="P5" s="33">
        <f t="shared" si="1"/>
        <v>27.059999999999992</v>
      </c>
      <c r="Q5" s="33">
        <f t="shared" si="2"/>
        <v>29.224799999999991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7">
        <v>3354.2</v>
      </c>
      <c r="I6" s="10">
        <v>150</v>
      </c>
      <c r="J6" s="10">
        <v>105</v>
      </c>
      <c r="K6" s="21">
        <v>2849.18</v>
      </c>
      <c r="L6" s="19"/>
      <c r="M6" s="13">
        <f>C6-H6-I6+L6-K6-J6</f>
        <v>8541.619999999999</v>
      </c>
      <c r="N6" s="14">
        <f>H6+M6</f>
        <v>11895.82</v>
      </c>
      <c r="O6" s="30" t="s">
        <v>118</v>
      </c>
      <c r="P6" s="33">
        <f t="shared" si="1"/>
        <v>854.16199999999992</v>
      </c>
      <c r="Q6" s="33">
        <f t="shared" si="2"/>
        <v>922.49495999999999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7">
        <v>3354.4</v>
      </c>
      <c r="I7" s="10">
        <v>300</v>
      </c>
      <c r="J7" s="10">
        <v>140</v>
      </c>
      <c r="K7" s="21"/>
      <c r="L7" s="19"/>
      <c r="M7" s="13">
        <f t="shared" ref="M7:M56" si="6">C7-H7-I7+L7-K7-J7</f>
        <v>1205.5999999999999</v>
      </c>
      <c r="N7" s="14">
        <f t="shared" si="0"/>
        <v>4560</v>
      </c>
      <c r="O7" s="36" t="s">
        <v>118</v>
      </c>
      <c r="P7" s="33">
        <f t="shared" si="1"/>
        <v>120.56</v>
      </c>
      <c r="Q7" s="33">
        <f t="shared" si="2"/>
        <v>130.20480000000001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375</v>
      </c>
      <c r="J8" s="10">
        <v>105</v>
      </c>
      <c r="K8" s="11"/>
      <c r="L8" s="12"/>
      <c r="M8" s="13">
        <f t="shared" si="6"/>
        <v>665.59999999999991</v>
      </c>
      <c r="N8" s="14">
        <f t="shared" si="0"/>
        <v>4020</v>
      </c>
      <c r="O8" s="30" t="s">
        <v>118</v>
      </c>
      <c r="P8" s="33">
        <f t="shared" si="1"/>
        <v>66.559999999999988</v>
      </c>
      <c r="Q8" s="33">
        <f t="shared" si="2"/>
        <v>71.884799999999998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3120.4</v>
      </c>
      <c r="I9" s="10">
        <v>300</v>
      </c>
      <c r="J9" s="10">
        <v>140</v>
      </c>
      <c r="K9" s="21">
        <v>293.92</v>
      </c>
      <c r="L9" s="12"/>
      <c r="M9" s="22">
        <f t="shared" si="6"/>
        <v>145.67999999999989</v>
      </c>
      <c r="N9" s="14">
        <f t="shared" si="0"/>
        <v>3266.08</v>
      </c>
      <c r="O9" s="30" t="s">
        <v>47</v>
      </c>
      <c r="P9" s="33">
        <f t="shared" si="1"/>
        <v>14.567999999999991</v>
      </c>
      <c r="Q9" s="33">
        <f t="shared" si="2"/>
        <v>15.733439999999991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3354.2</v>
      </c>
      <c r="I10" s="10"/>
      <c r="J10" s="10"/>
      <c r="K10" s="100"/>
      <c r="L10" s="19"/>
      <c r="M10" s="22">
        <f t="shared" si="6"/>
        <v>645.80000000000018</v>
      </c>
      <c r="N10" s="14">
        <f t="shared" si="0"/>
        <v>4000</v>
      </c>
      <c r="O10" s="30" t="s">
        <v>49</v>
      </c>
      <c r="P10" s="33">
        <f t="shared" si="1"/>
        <v>64.580000000000027</v>
      </c>
      <c r="Q10" s="33">
        <f t="shared" si="2"/>
        <v>69.746400000000037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75</v>
      </c>
      <c r="J11" s="10"/>
      <c r="K11" s="11"/>
      <c r="L11" s="12"/>
      <c r="M11" s="13">
        <f t="shared" si="6"/>
        <v>3570.6</v>
      </c>
      <c r="N11" s="14">
        <f t="shared" si="0"/>
        <v>6925</v>
      </c>
      <c r="O11" s="30" t="s">
        <v>118</v>
      </c>
      <c r="P11" s="33">
        <f t="shared" si="1"/>
        <v>357.06</v>
      </c>
      <c r="Q11" s="33">
        <f t="shared" si="2"/>
        <v>385.62480000000005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3354.2</v>
      </c>
      <c r="I12" s="10">
        <v>225</v>
      </c>
      <c r="J12" s="10">
        <v>140</v>
      </c>
      <c r="K12" s="11"/>
      <c r="L12" s="12"/>
      <c r="M12" s="13">
        <f t="shared" si="6"/>
        <v>1280.8000000000002</v>
      </c>
      <c r="N12" s="14">
        <f t="shared" si="0"/>
        <v>4635</v>
      </c>
      <c r="O12" s="30">
        <v>0.03</v>
      </c>
      <c r="P12" s="33">
        <f t="shared" si="1"/>
        <v>128.08000000000001</v>
      </c>
      <c r="Q12" s="33">
        <f t="shared" si="2"/>
        <v>138.32640000000004</v>
      </c>
    </row>
    <row r="13" spans="1:17" ht="15" customHeight="1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3240.2</v>
      </c>
      <c r="I13" s="10">
        <v>225</v>
      </c>
      <c r="J13" s="10">
        <v>35</v>
      </c>
      <c r="K13" s="21"/>
      <c r="L13" s="19"/>
      <c r="M13" s="13">
        <f>C13-H13-I13+L13-K13-J13+0.2</f>
        <v>1.819100425848319E-13</v>
      </c>
      <c r="N13" s="14">
        <f t="shared" si="0"/>
        <v>3240.2</v>
      </c>
      <c r="O13" s="30">
        <v>0.03</v>
      </c>
      <c r="P13" s="33">
        <f t="shared" si="1"/>
        <v>1.8191004258483192E-14</v>
      </c>
      <c r="Q13" s="33">
        <f t="shared" si="2"/>
        <v>1.9646284599161848E-14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7">
        <v>5006</v>
      </c>
      <c r="I14" s="10">
        <v>75</v>
      </c>
      <c r="J14" s="10">
        <v>140</v>
      </c>
      <c r="K14" s="21">
        <v>587.84</v>
      </c>
      <c r="L14" s="19">
        <v>3142.86</v>
      </c>
      <c r="M14" s="22">
        <f>C14-H14-I14+L14-K14-J14</f>
        <v>1334.02</v>
      </c>
      <c r="N14" s="14">
        <f t="shared" si="0"/>
        <v>6340.02</v>
      </c>
      <c r="O14" s="36" t="s">
        <v>50</v>
      </c>
      <c r="P14" s="33">
        <f t="shared" si="1"/>
        <v>133.40200000000002</v>
      </c>
      <c r="Q14" s="33">
        <f t="shared" si="2"/>
        <v>144.07416000000003</v>
      </c>
    </row>
    <row r="15" spans="1:17" x14ac:dyDescent="0.25">
      <c r="A15" s="5">
        <v>150</v>
      </c>
      <c r="B15" s="6" t="s">
        <v>24</v>
      </c>
      <c r="C15" s="7">
        <v>5000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3354.2</v>
      </c>
      <c r="I15" s="10"/>
      <c r="J15" s="10"/>
      <c r="K15" s="21"/>
      <c r="L15" s="19"/>
      <c r="M15" s="13">
        <f t="shared" si="6"/>
        <v>1645.8000000000002</v>
      </c>
      <c r="N15" s="14">
        <f t="shared" si="0"/>
        <v>5000</v>
      </c>
      <c r="O15" s="30" t="s">
        <v>47</v>
      </c>
      <c r="P15" s="33">
        <f t="shared" si="1"/>
        <v>164.58000000000004</v>
      </c>
      <c r="Q15" s="33">
        <f t="shared" si="2"/>
        <v>177.74640000000005</v>
      </c>
    </row>
    <row r="16" spans="1:17" x14ac:dyDescent="0.25">
      <c r="A16" s="5">
        <v>752</v>
      </c>
      <c r="B16" s="6" t="s">
        <v>25</v>
      </c>
      <c r="C16" s="7">
        <v>4500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3120.4</v>
      </c>
      <c r="I16" s="10">
        <v>150</v>
      </c>
      <c r="J16" s="10"/>
      <c r="K16" s="21">
        <v>293.92</v>
      </c>
      <c r="L16" s="12"/>
      <c r="M16" s="13">
        <f>C16-H16-I16+L16-K16-J16</f>
        <v>935.67999999999984</v>
      </c>
      <c r="N16" s="14">
        <f t="shared" si="0"/>
        <v>4056.08</v>
      </c>
      <c r="O16" s="29">
        <v>0.03</v>
      </c>
      <c r="P16" s="33">
        <f t="shared" si="1"/>
        <v>93.567999999999984</v>
      </c>
      <c r="Q16" s="33">
        <f t="shared" si="2"/>
        <v>101.05343999999999</v>
      </c>
    </row>
    <row r="17" spans="1:17" s="55" customFormat="1" x14ac:dyDescent="0.25">
      <c r="A17" s="5">
        <v>162</v>
      </c>
      <c r="B17" s="6" t="s">
        <v>27</v>
      </c>
      <c r="C17" s="7">
        <v>4500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3354.2</v>
      </c>
      <c r="I17" s="10">
        <v>150</v>
      </c>
      <c r="J17" s="10"/>
      <c r="K17" s="21"/>
      <c r="L17" s="19"/>
      <c r="M17" s="13">
        <f t="shared" si="6"/>
        <v>995.80000000000018</v>
      </c>
      <c r="N17" s="14">
        <f t="shared" si="0"/>
        <v>4350</v>
      </c>
      <c r="O17" s="29">
        <v>0.03</v>
      </c>
      <c r="P17" s="33">
        <f t="shared" si="1"/>
        <v>99.580000000000027</v>
      </c>
      <c r="Q17" s="33">
        <f t="shared" si="2"/>
        <v>107.54640000000003</v>
      </c>
    </row>
    <row r="18" spans="1:17" s="55" customFormat="1" x14ac:dyDescent="0.25">
      <c r="A18" s="5">
        <v>174</v>
      </c>
      <c r="B18" s="6" t="s">
        <v>28</v>
      </c>
      <c r="C18" s="7">
        <v>10000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2376</v>
      </c>
      <c r="I18" s="10"/>
      <c r="J18" s="10"/>
      <c r="K18" s="16">
        <f>908.03+1697.53</f>
        <v>2605.56</v>
      </c>
      <c r="L18" s="12"/>
      <c r="M18" s="13">
        <f t="shared" si="6"/>
        <v>5018.4400000000005</v>
      </c>
      <c r="N18" s="14">
        <f t="shared" si="0"/>
        <v>7394.4400000000005</v>
      </c>
      <c r="O18" s="29" t="s">
        <v>50</v>
      </c>
      <c r="P18" s="33">
        <f t="shared" si="1"/>
        <v>501.84400000000005</v>
      </c>
      <c r="Q18" s="33">
        <f t="shared" si="2"/>
        <v>541.99152000000004</v>
      </c>
    </row>
    <row r="19" spans="1:17" s="55" customFormat="1" x14ac:dyDescent="0.25">
      <c r="A19" s="5">
        <v>184</v>
      </c>
      <c r="B19" s="6" t="s">
        <v>29</v>
      </c>
      <c r="C19" s="7">
        <v>8000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3354.2</v>
      </c>
      <c r="I19" s="10">
        <v>375</v>
      </c>
      <c r="J19" s="10">
        <v>140</v>
      </c>
      <c r="K19" s="21"/>
      <c r="L19" s="19"/>
      <c r="M19" s="13">
        <f t="shared" si="6"/>
        <v>4130.8</v>
      </c>
      <c r="N19" s="14">
        <f t="shared" si="0"/>
        <v>7485</v>
      </c>
      <c r="O19" s="29">
        <v>0.03</v>
      </c>
      <c r="P19" s="33">
        <f t="shared" si="1"/>
        <v>413.08000000000004</v>
      </c>
      <c r="Q19" s="33">
        <f t="shared" si="2"/>
        <v>446.12640000000005</v>
      </c>
    </row>
    <row r="20" spans="1:17" s="55" customFormat="1" ht="13.5" customHeight="1" x14ac:dyDescent="0.25">
      <c r="A20" s="5">
        <v>204</v>
      </c>
      <c r="B20" s="6" t="s">
        <v>33</v>
      </c>
      <c r="C20" s="7">
        <v>5000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3393.2</v>
      </c>
      <c r="I20" s="10">
        <v>225</v>
      </c>
      <c r="J20" s="10">
        <v>70</v>
      </c>
      <c r="K20" s="11"/>
      <c r="L20" s="19">
        <v>178.57</v>
      </c>
      <c r="M20" s="13">
        <f t="shared" si="6"/>
        <v>1490.3700000000001</v>
      </c>
      <c r="N20" s="14">
        <f t="shared" si="0"/>
        <v>4883.57</v>
      </c>
      <c r="O20" s="29" t="s">
        <v>118</v>
      </c>
      <c r="P20" s="33">
        <f t="shared" si="1"/>
        <v>149.03700000000001</v>
      </c>
      <c r="Q20" s="33">
        <f t="shared" si="2"/>
        <v>160.95996000000002</v>
      </c>
    </row>
    <row r="21" spans="1:17" s="55" customFormat="1" x14ac:dyDescent="0.25">
      <c r="A21" s="5">
        <v>213</v>
      </c>
      <c r="B21" s="6" t="s">
        <v>34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/>
      <c r="J21" s="10"/>
      <c r="K21" s="11"/>
      <c r="L21" s="12"/>
      <c r="M21" s="13">
        <f t="shared" si="6"/>
        <v>645.59999999999991</v>
      </c>
      <c r="N21" s="14">
        <f t="shared" si="0"/>
        <v>4000</v>
      </c>
      <c r="O21" s="29" t="s">
        <v>50</v>
      </c>
      <c r="P21" s="33">
        <f t="shared" si="1"/>
        <v>64.559999999999988</v>
      </c>
      <c r="Q21" s="33">
        <f t="shared" si="2"/>
        <v>69.724799999999988</v>
      </c>
    </row>
    <row r="22" spans="1:17" s="55" customFormat="1" x14ac:dyDescent="0.25">
      <c r="A22" s="5">
        <v>215</v>
      </c>
      <c r="B22" s="6" t="s">
        <v>35</v>
      </c>
      <c r="C22" s="7">
        <v>5000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3354.2</v>
      </c>
      <c r="I22" s="10">
        <v>300</v>
      </c>
      <c r="J22" s="10">
        <v>105</v>
      </c>
      <c r="K22" s="21"/>
      <c r="L22" s="19"/>
      <c r="M22" s="13">
        <f t="shared" si="6"/>
        <v>1240.8000000000002</v>
      </c>
      <c r="N22" s="14">
        <f t="shared" si="0"/>
        <v>4595</v>
      </c>
      <c r="O22" s="29" t="s">
        <v>118</v>
      </c>
      <c r="P22" s="33">
        <f t="shared" si="1"/>
        <v>124.08000000000003</v>
      </c>
      <c r="Q22" s="33">
        <f t="shared" si="2"/>
        <v>134.00640000000004</v>
      </c>
    </row>
    <row r="23" spans="1:17" s="55" customFormat="1" x14ac:dyDescent="0.25">
      <c r="A23" s="5">
        <v>218</v>
      </c>
      <c r="B23" s="6" t="s">
        <v>36</v>
      </c>
      <c r="C23" s="7">
        <v>3500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3354.4</v>
      </c>
      <c r="I23" s="10"/>
      <c r="J23" s="10"/>
      <c r="K23" s="12"/>
      <c r="L23" s="12"/>
      <c r="M23" s="13">
        <f t="shared" si="6"/>
        <v>145.59999999999991</v>
      </c>
      <c r="N23" s="14">
        <f t="shared" si="0"/>
        <v>3500</v>
      </c>
      <c r="O23" s="29" t="s">
        <v>49</v>
      </c>
      <c r="P23" s="33">
        <f t="shared" si="1"/>
        <v>14.559999999999992</v>
      </c>
      <c r="Q23" s="33">
        <f t="shared" si="2"/>
        <v>15.724799999999991</v>
      </c>
    </row>
    <row r="24" spans="1:17" s="55" customFormat="1" x14ac:dyDescent="0.25">
      <c r="A24" s="36">
        <v>220</v>
      </c>
      <c r="B24" s="6" t="s">
        <v>37</v>
      </c>
      <c r="C24" s="7">
        <v>4000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2510</v>
      </c>
      <c r="I24" s="10">
        <v>150</v>
      </c>
      <c r="J24" s="10">
        <v>175</v>
      </c>
      <c r="K24" s="16">
        <f>610.33+293.92</f>
        <v>904.25</v>
      </c>
      <c r="L24" s="12"/>
      <c r="M24" s="22">
        <f>C24-H24-I24+L24-K24-J24</f>
        <v>260.75</v>
      </c>
      <c r="N24" s="14">
        <f t="shared" si="0"/>
        <v>2770.75</v>
      </c>
      <c r="O24" s="36">
        <v>0.03</v>
      </c>
      <c r="P24" s="33">
        <f t="shared" si="1"/>
        <v>26.075000000000003</v>
      </c>
      <c r="Q24" s="33">
        <f t="shared" si="2"/>
        <v>28.161000000000005</v>
      </c>
    </row>
    <row r="25" spans="1:17" s="55" customFormat="1" x14ac:dyDescent="0.25">
      <c r="A25" s="5">
        <v>221</v>
      </c>
      <c r="B25" s="6" t="s">
        <v>38</v>
      </c>
      <c r="C25" s="7">
        <v>5000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7">
        <v>3354.2</v>
      </c>
      <c r="I25" s="10">
        <v>375</v>
      </c>
      <c r="J25" s="10"/>
      <c r="K25" s="21"/>
      <c r="L25" s="12"/>
      <c r="M25" s="13">
        <f t="shared" si="6"/>
        <v>1270.8000000000002</v>
      </c>
      <c r="N25" s="14">
        <f t="shared" si="0"/>
        <v>4625</v>
      </c>
      <c r="O25" s="29">
        <v>0.03</v>
      </c>
      <c r="P25" s="33">
        <f t="shared" si="1"/>
        <v>127.08000000000003</v>
      </c>
      <c r="Q25" s="33">
        <f t="shared" si="2"/>
        <v>137.24640000000005</v>
      </c>
    </row>
    <row r="26" spans="1:17" s="55" customFormat="1" x14ac:dyDescent="0.25">
      <c r="A26" s="5">
        <v>222</v>
      </c>
      <c r="B26" s="6" t="s">
        <v>39</v>
      </c>
      <c r="C26" s="7">
        <v>8000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2681.4</v>
      </c>
      <c r="I26" s="10">
        <v>375</v>
      </c>
      <c r="J26" s="10">
        <v>105</v>
      </c>
      <c r="K26" s="16">
        <v>1538.46</v>
      </c>
      <c r="L26" s="19"/>
      <c r="M26" s="13">
        <f t="shared" si="6"/>
        <v>3300.1400000000003</v>
      </c>
      <c r="N26" s="14">
        <f t="shared" si="0"/>
        <v>5981.5400000000009</v>
      </c>
      <c r="O26" s="29" t="s">
        <v>118</v>
      </c>
      <c r="P26" s="33">
        <f t="shared" si="1"/>
        <v>330.01400000000007</v>
      </c>
      <c r="Q26" s="33">
        <f t="shared" si="2"/>
        <v>356.41512000000012</v>
      </c>
    </row>
    <row r="27" spans="1:17" s="55" customFormat="1" x14ac:dyDescent="0.25">
      <c r="A27" s="5">
        <v>227</v>
      </c>
      <c r="B27" s="6" t="s">
        <v>41</v>
      </c>
      <c r="C27" s="7">
        <v>6000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3354.2</v>
      </c>
      <c r="I27" s="10">
        <v>375</v>
      </c>
      <c r="J27" s="10">
        <v>140</v>
      </c>
      <c r="K27" s="21"/>
      <c r="L27" s="12"/>
      <c r="M27" s="13">
        <f t="shared" si="6"/>
        <v>2130.8000000000002</v>
      </c>
      <c r="N27" s="14">
        <f t="shared" si="0"/>
        <v>5485</v>
      </c>
      <c r="O27" s="29" t="s">
        <v>118</v>
      </c>
      <c r="P27" s="33">
        <f t="shared" si="1"/>
        <v>213.08000000000004</v>
      </c>
      <c r="Q27" s="33">
        <f t="shared" si="2"/>
        <v>230.12640000000005</v>
      </c>
    </row>
    <row r="28" spans="1:17" s="55" customFormat="1" x14ac:dyDescent="0.25">
      <c r="A28" s="5">
        <v>233</v>
      </c>
      <c r="B28" s="6" t="s">
        <v>42</v>
      </c>
      <c r="C28" s="7">
        <v>6250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f>3354.2+2516.4</f>
        <v>5870.6</v>
      </c>
      <c r="I28" s="10">
        <v>375</v>
      </c>
      <c r="J28" s="10"/>
      <c r="K28" s="21"/>
      <c r="L28" s="19"/>
      <c r="M28" s="13">
        <f t="shared" si="6"/>
        <v>4.3999999999996362</v>
      </c>
      <c r="N28" s="14">
        <f t="shared" si="0"/>
        <v>5875</v>
      </c>
      <c r="O28" s="31" t="s">
        <v>118</v>
      </c>
      <c r="P28" s="33">
        <f t="shared" si="1"/>
        <v>0.43999999999996364</v>
      </c>
      <c r="Q28" s="33">
        <f t="shared" si="2"/>
        <v>0.47519999999996076</v>
      </c>
    </row>
    <row r="29" spans="1:17" s="55" customFormat="1" x14ac:dyDescent="0.25">
      <c r="A29" s="5">
        <v>244</v>
      </c>
      <c r="B29" s="6" t="s">
        <v>44</v>
      </c>
      <c r="C29" s="7">
        <v>5000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3354.2</v>
      </c>
      <c r="I29" s="10">
        <v>375</v>
      </c>
      <c r="J29" s="10">
        <v>70</v>
      </c>
      <c r="K29" s="21"/>
      <c r="L29" s="12"/>
      <c r="M29" s="13">
        <f>C29-H29-I29+L29-K29-J29</f>
        <v>1200.8000000000002</v>
      </c>
      <c r="N29" s="14">
        <f t="shared" si="0"/>
        <v>4555</v>
      </c>
      <c r="O29" s="29">
        <v>0.03</v>
      </c>
      <c r="P29" s="33">
        <f t="shared" si="1"/>
        <v>120.08000000000003</v>
      </c>
      <c r="Q29" s="33">
        <f t="shared" si="2"/>
        <v>129.68640000000005</v>
      </c>
    </row>
    <row r="30" spans="1:17" s="55" customFormat="1" x14ac:dyDescent="0.25">
      <c r="A30" s="5">
        <v>245</v>
      </c>
      <c r="B30" s="6" t="s">
        <v>45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3354.2</v>
      </c>
      <c r="I30" s="10"/>
      <c r="J30" s="10"/>
      <c r="K30" s="11"/>
      <c r="L30" s="19"/>
      <c r="M30" s="13">
        <f t="shared" si="6"/>
        <v>1645.8000000000002</v>
      </c>
      <c r="N30" s="14">
        <f>H30+M30</f>
        <v>5000</v>
      </c>
      <c r="O30" s="34" t="s">
        <v>47</v>
      </c>
      <c r="P30" s="33">
        <f t="shared" si="1"/>
        <v>164.58000000000004</v>
      </c>
      <c r="Q30" s="33">
        <f t="shared" si="2"/>
        <v>177.74640000000005</v>
      </c>
    </row>
    <row r="31" spans="1:17" s="55" customFormat="1" x14ac:dyDescent="0.25">
      <c r="A31" s="5">
        <v>252</v>
      </c>
      <c r="B31" s="6" t="s">
        <v>53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3354.2</v>
      </c>
      <c r="I31" s="10">
        <v>375</v>
      </c>
      <c r="J31" s="10">
        <v>70</v>
      </c>
      <c r="K31" s="21"/>
      <c r="L31" s="12"/>
      <c r="M31" s="22">
        <f>C31-H31-I31+L31-K31-J31</f>
        <v>1200.8000000000002</v>
      </c>
      <c r="N31" s="14">
        <f t="shared" si="0"/>
        <v>4555</v>
      </c>
      <c r="O31" s="5">
        <v>0.03</v>
      </c>
      <c r="P31" s="33">
        <f t="shared" si="1"/>
        <v>120.08000000000003</v>
      </c>
      <c r="Q31" s="33">
        <f t="shared" si="2"/>
        <v>129.68640000000005</v>
      </c>
    </row>
    <row r="32" spans="1:17" s="55" customFormat="1" x14ac:dyDescent="0.25">
      <c r="A32" s="5">
        <v>260</v>
      </c>
      <c r="B32" s="6" t="s">
        <v>54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4064.8</v>
      </c>
      <c r="I32" s="10">
        <v>225</v>
      </c>
      <c r="J32" s="10">
        <v>70</v>
      </c>
      <c r="K32" s="11"/>
      <c r="L32" s="19">
        <v>1964.29</v>
      </c>
      <c r="M32" s="13">
        <f t="shared" si="6"/>
        <v>2604.4899999999998</v>
      </c>
      <c r="N32" s="14">
        <f t="shared" si="0"/>
        <v>6669.29</v>
      </c>
      <c r="O32" s="5" t="s">
        <v>48</v>
      </c>
      <c r="P32" s="33">
        <f t="shared" si="1"/>
        <v>260.44900000000001</v>
      </c>
      <c r="Q32" s="33">
        <f t="shared" si="2"/>
        <v>281.28492000000006</v>
      </c>
    </row>
    <row r="33" spans="1:17" s="55" customFormat="1" x14ac:dyDescent="0.25">
      <c r="A33" s="5">
        <v>261</v>
      </c>
      <c r="B33" s="6" t="s">
        <v>55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2371</v>
      </c>
      <c r="I33" s="10">
        <v>375</v>
      </c>
      <c r="J33" s="10">
        <v>70</v>
      </c>
      <c r="K33" s="16">
        <v>913.35</v>
      </c>
      <c r="L33" s="19"/>
      <c r="M33" s="13">
        <f t="shared" si="6"/>
        <v>270.64999999999998</v>
      </c>
      <c r="N33" s="14">
        <f t="shared" si="0"/>
        <v>2641.65</v>
      </c>
      <c r="O33" s="5">
        <v>0.03</v>
      </c>
      <c r="P33" s="33">
        <f t="shared" si="1"/>
        <v>27.064999999999998</v>
      </c>
      <c r="Q33" s="33">
        <f t="shared" si="2"/>
        <v>29.2302</v>
      </c>
    </row>
    <row r="34" spans="1:17" s="55" customFormat="1" x14ac:dyDescent="0.25">
      <c r="A34" s="5">
        <v>267</v>
      </c>
      <c r="B34" s="6" t="s">
        <v>56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2090.6</v>
      </c>
      <c r="I34" s="10">
        <v>375</v>
      </c>
      <c r="J34" s="10">
        <v>35</v>
      </c>
      <c r="K34" s="16">
        <f>560.42+714.28</f>
        <v>1274.6999999999998</v>
      </c>
      <c r="L34" s="12"/>
      <c r="M34" s="13">
        <f t="shared" ref="M34:M39" si="7">C34-H34-I34+L34-K34-J34</f>
        <v>1224.7000000000003</v>
      </c>
      <c r="N34" s="14">
        <f t="shared" si="0"/>
        <v>3315.3</v>
      </c>
      <c r="O34" s="5" t="s">
        <v>47</v>
      </c>
      <c r="P34" s="33">
        <f t="shared" si="1"/>
        <v>122.47000000000003</v>
      </c>
      <c r="Q34" s="33">
        <f t="shared" si="2"/>
        <v>132.26760000000004</v>
      </c>
    </row>
    <row r="35" spans="1:17" s="55" customFormat="1" x14ac:dyDescent="0.25">
      <c r="A35" s="5">
        <v>269</v>
      </c>
      <c r="B35" s="6" t="s">
        <v>58</v>
      </c>
      <c r="C35" s="7">
        <v>7000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3354.4</v>
      </c>
      <c r="I35" s="10"/>
      <c r="J35" s="10">
        <v>105</v>
      </c>
      <c r="K35" s="21"/>
      <c r="L35" s="19"/>
      <c r="M35" s="13">
        <f t="shared" si="7"/>
        <v>3540.6</v>
      </c>
      <c r="N35" s="14">
        <f>H35+M35</f>
        <v>6895</v>
      </c>
      <c r="O35" s="5" t="s">
        <v>118</v>
      </c>
      <c r="P35" s="33">
        <f t="shared" si="1"/>
        <v>354.06</v>
      </c>
      <c r="Q35" s="33">
        <f t="shared" si="2"/>
        <v>382.38480000000004</v>
      </c>
    </row>
    <row r="36" spans="1:17" s="55" customFormat="1" x14ac:dyDescent="0.25">
      <c r="A36" s="5">
        <v>271</v>
      </c>
      <c r="B36" s="6" t="s">
        <v>59</v>
      </c>
      <c r="C36" s="7">
        <v>4000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3145</v>
      </c>
      <c r="I36" s="10">
        <v>375</v>
      </c>
      <c r="J36" s="10">
        <v>105</v>
      </c>
      <c r="K36" s="21"/>
      <c r="L36" s="19">
        <v>142.86000000000001</v>
      </c>
      <c r="M36" s="22">
        <f t="shared" si="7"/>
        <v>517.86</v>
      </c>
      <c r="N36" s="14">
        <f t="shared" si="0"/>
        <v>3662.86</v>
      </c>
      <c r="O36" s="5">
        <v>0.03</v>
      </c>
      <c r="P36" s="33">
        <f t="shared" si="1"/>
        <v>51.786000000000001</v>
      </c>
      <c r="Q36" s="33">
        <f t="shared" si="2"/>
        <v>55.928880000000007</v>
      </c>
    </row>
    <row r="37" spans="1:17" s="55" customFormat="1" x14ac:dyDescent="0.25">
      <c r="A37" s="5">
        <v>275</v>
      </c>
      <c r="B37" s="6" t="s">
        <v>60</v>
      </c>
      <c r="C37" s="7">
        <v>3375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3354.4</v>
      </c>
      <c r="I37" s="10"/>
      <c r="J37" s="10"/>
      <c r="K37" s="21"/>
      <c r="L37" s="19"/>
      <c r="M37" s="13">
        <f t="shared" si="7"/>
        <v>20.599999999999909</v>
      </c>
      <c r="N37" s="14">
        <f>H37+M37</f>
        <v>3375</v>
      </c>
      <c r="O37" s="5">
        <v>0.03</v>
      </c>
      <c r="P37" s="33">
        <f>+M37*0.1</f>
        <v>2.0599999999999912</v>
      </c>
      <c r="Q37" s="33">
        <f>+P37*1.08</f>
        <v>2.2247999999999908</v>
      </c>
    </row>
    <row r="38" spans="1:17" s="55" customFormat="1" x14ac:dyDescent="0.25">
      <c r="A38" s="5">
        <v>276</v>
      </c>
      <c r="B38" s="6" t="s">
        <v>61</v>
      </c>
      <c r="C38" s="7">
        <v>5000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3354.4</v>
      </c>
      <c r="I38" s="10">
        <v>375</v>
      </c>
      <c r="J38" s="10"/>
      <c r="K38" s="11"/>
      <c r="L38" s="19"/>
      <c r="M38" s="13">
        <f t="shared" si="7"/>
        <v>1270.5999999999999</v>
      </c>
      <c r="N38" s="14">
        <f t="shared" si="0"/>
        <v>4625</v>
      </c>
      <c r="O38" s="5">
        <v>0.03</v>
      </c>
      <c r="P38" s="33">
        <f t="shared" si="1"/>
        <v>127.06</v>
      </c>
      <c r="Q38" s="33">
        <f t="shared" si="2"/>
        <v>137.22480000000002</v>
      </c>
    </row>
    <row r="39" spans="1:17" s="55" customFormat="1" x14ac:dyDescent="0.25">
      <c r="A39" s="5">
        <v>279</v>
      </c>
      <c r="B39" s="6" t="s">
        <v>63</v>
      </c>
      <c r="C39" s="7">
        <v>4500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2984.2</v>
      </c>
      <c r="I39" s="10">
        <v>75</v>
      </c>
      <c r="J39" s="10">
        <v>35</v>
      </c>
      <c r="K39" s="21">
        <v>587.84</v>
      </c>
      <c r="L39" s="19">
        <v>160.71</v>
      </c>
      <c r="M39" s="22">
        <f t="shared" si="7"/>
        <v>978.67000000000019</v>
      </c>
      <c r="N39" s="14">
        <f t="shared" si="0"/>
        <v>3962.87</v>
      </c>
      <c r="O39" s="5" t="s">
        <v>118</v>
      </c>
      <c r="P39" s="33">
        <f t="shared" si="1"/>
        <v>97.867000000000019</v>
      </c>
      <c r="Q39" s="33">
        <f t="shared" si="2"/>
        <v>105.69636000000003</v>
      </c>
    </row>
    <row r="40" spans="1:17" s="55" customFormat="1" x14ac:dyDescent="0.25">
      <c r="A40" s="5">
        <v>280</v>
      </c>
      <c r="B40" s="6" t="s">
        <v>64</v>
      </c>
      <c r="C40" s="7">
        <v>5000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3354.4</v>
      </c>
      <c r="I40" s="10"/>
      <c r="J40" s="10"/>
      <c r="K40" s="11"/>
      <c r="L40" s="19"/>
      <c r="M40" s="13">
        <f t="shared" si="6"/>
        <v>1645.6</v>
      </c>
      <c r="N40" s="14">
        <f t="shared" si="0"/>
        <v>5000</v>
      </c>
      <c r="O40" s="5" t="s">
        <v>119</v>
      </c>
      <c r="P40" s="33">
        <f t="shared" si="1"/>
        <v>164.56</v>
      </c>
      <c r="Q40" s="33">
        <f t="shared" si="2"/>
        <v>177.72480000000002</v>
      </c>
    </row>
    <row r="41" spans="1:17" s="55" customFormat="1" ht="15" customHeight="1" x14ac:dyDescent="0.25">
      <c r="A41" s="5">
        <v>281</v>
      </c>
      <c r="B41" s="6" t="s">
        <v>65</v>
      </c>
      <c r="C41" s="7">
        <v>8750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4479.6000000000004</v>
      </c>
      <c r="I41" s="10"/>
      <c r="J41" s="10"/>
      <c r="K41" s="11"/>
      <c r="L41" s="19">
        <v>4375</v>
      </c>
      <c r="M41" s="13">
        <f t="shared" si="6"/>
        <v>8645.4</v>
      </c>
      <c r="N41" s="14">
        <f t="shared" si="0"/>
        <v>13125</v>
      </c>
      <c r="O41" s="5">
        <v>0.03</v>
      </c>
      <c r="P41" s="33">
        <f t="shared" si="1"/>
        <v>864.54</v>
      </c>
      <c r="Q41" s="33">
        <f t="shared" si="2"/>
        <v>933.70320000000004</v>
      </c>
    </row>
    <row r="42" spans="1:17" s="55" customFormat="1" x14ac:dyDescent="0.25">
      <c r="A42" s="5">
        <v>283</v>
      </c>
      <c r="B42" s="6" t="s">
        <v>66</v>
      </c>
      <c r="C42" s="7">
        <v>5000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3354.4</v>
      </c>
      <c r="I42" s="10"/>
      <c r="J42" s="10"/>
      <c r="K42" s="21"/>
      <c r="L42" s="12"/>
      <c r="M42" s="13">
        <f t="shared" si="6"/>
        <v>1645.6</v>
      </c>
      <c r="N42" s="14">
        <f t="shared" si="0"/>
        <v>5000</v>
      </c>
      <c r="O42" s="5">
        <v>0.03</v>
      </c>
      <c r="P42" s="33">
        <f t="shared" si="1"/>
        <v>164.56</v>
      </c>
      <c r="Q42" s="33">
        <f t="shared" si="2"/>
        <v>177.72480000000002</v>
      </c>
    </row>
    <row r="43" spans="1:17" s="55" customFormat="1" x14ac:dyDescent="0.25">
      <c r="A43" s="5">
        <v>284</v>
      </c>
      <c r="B43" s="6" t="s">
        <v>67</v>
      </c>
      <c r="C43" s="7">
        <v>4000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3354.4</v>
      </c>
      <c r="I43" s="10">
        <v>75</v>
      </c>
      <c r="J43" s="10">
        <v>140</v>
      </c>
      <c r="K43" s="11"/>
      <c r="L43" s="19"/>
      <c r="M43" s="13">
        <f t="shared" si="6"/>
        <v>430.59999999999991</v>
      </c>
      <c r="N43" s="14">
        <f t="shared" si="0"/>
        <v>3785</v>
      </c>
      <c r="O43" s="5" t="s">
        <v>48</v>
      </c>
      <c r="P43" s="33">
        <f t="shared" si="1"/>
        <v>43.059999999999995</v>
      </c>
      <c r="Q43" s="33">
        <f t="shared" si="2"/>
        <v>46.504799999999996</v>
      </c>
    </row>
    <row r="44" spans="1:17" s="55" customFormat="1" x14ac:dyDescent="0.25">
      <c r="A44" s="5">
        <v>285</v>
      </c>
      <c r="B44" s="6" t="s">
        <v>68</v>
      </c>
      <c r="C44" s="7">
        <v>4000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3120.2</v>
      </c>
      <c r="I44" s="10">
        <v>75</v>
      </c>
      <c r="J44" s="10">
        <v>105</v>
      </c>
      <c r="K44" s="21">
        <v>293.92</v>
      </c>
      <c r="L44" s="19"/>
      <c r="M44" s="13">
        <f>C44-H44-I44+L44-K44-J44</f>
        <v>405.88000000000017</v>
      </c>
      <c r="N44" s="14">
        <f t="shared" si="0"/>
        <v>3526.08</v>
      </c>
      <c r="O44" s="5" t="s">
        <v>48</v>
      </c>
      <c r="P44" s="33">
        <f t="shared" si="1"/>
        <v>40.588000000000022</v>
      </c>
      <c r="Q44" s="33">
        <f t="shared" si="2"/>
        <v>43.835040000000028</v>
      </c>
    </row>
    <row r="45" spans="1:17" s="55" customFormat="1" x14ac:dyDescent="0.25">
      <c r="A45" s="5">
        <v>286</v>
      </c>
      <c r="B45" s="6" t="s">
        <v>69</v>
      </c>
      <c r="C45" s="7">
        <v>4000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3354.2</v>
      </c>
      <c r="I45" s="10">
        <v>375</v>
      </c>
      <c r="J45" s="10"/>
      <c r="K45" s="11"/>
      <c r="L45" s="19"/>
      <c r="M45" s="13">
        <f t="shared" si="6"/>
        <v>270.80000000000018</v>
      </c>
      <c r="N45" s="14">
        <f t="shared" si="0"/>
        <v>3625</v>
      </c>
      <c r="O45" s="5" t="s">
        <v>118</v>
      </c>
      <c r="P45" s="33">
        <f t="shared" si="1"/>
        <v>27.08000000000002</v>
      </c>
      <c r="Q45" s="33">
        <f t="shared" si="2"/>
        <v>29.246400000000023</v>
      </c>
    </row>
    <row r="46" spans="1:17" s="55" customFormat="1" x14ac:dyDescent="0.25">
      <c r="A46" s="5">
        <v>287</v>
      </c>
      <c r="B46" s="6" t="s">
        <v>72</v>
      </c>
      <c r="C46" s="7">
        <v>5000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3354.4</v>
      </c>
      <c r="I46" s="10">
        <v>375</v>
      </c>
      <c r="J46" s="10">
        <v>35</v>
      </c>
      <c r="K46" s="21"/>
      <c r="L46" s="19"/>
      <c r="M46" s="13">
        <f>C46-H46-I46+L46-K46-J46</f>
        <v>1235.5999999999999</v>
      </c>
      <c r="N46" s="14">
        <f t="shared" si="0"/>
        <v>4590</v>
      </c>
      <c r="O46" s="5" t="s">
        <v>118</v>
      </c>
      <c r="P46" s="33">
        <f t="shared" si="1"/>
        <v>123.56</v>
      </c>
      <c r="Q46" s="33">
        <f t="shared" si="2"/>
        <v>133.44480000000001</v>
      </c>
    </row>
    <row r="47" spans="1:17" s="55" customFormat="1" x14ac:dyDescent="0.25">
      <c r="A47" s="5">
        <v>288</v>
      </c>
      <c r="B47" s="6" t="s">
        <v>73</v>
      </c>
      <c r="C47" s="7">
        <v>3500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/>
      <c r="J47" s="10"/>
      <c r="K47" s="11"/>
      <c r="L47" s="19"/>
      <c r="M47" s="13">
        <f>C47-H47-I47+L47-K47-J47</f>
        <v>145.59999999999991</v>
      </c>
      <c r="N47" s="14">
        <f t="shared" si="0"/>
        <v>3500</v>
      </c>
      <c r="O47" s="5">
        <v>0.03</v>
      </c>
      <c r="P47" s="33">
        <f t="shared" si="1"/>
        <v>14.559999999999992</v>
      </c>
      <c r="Q47" s="33">
        <f t="shared" si="2"/>
        <v>15.724799999999991</v>
      </c>
    </row>
    <row r="48" spans="1:17" x14ac:dyDescent="0.25">
      <c r="A48" s="5">
        <v>289</v>
      </c>
      <c r="B48" s="6" t="s">
        <v>74</v>
      </c>
      <c r="C48" s="7">
        <v>3500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/>
      <c r="J48" s="10"/>
      <c r="K48" s="11"/>
      <c r="L48" s="19"/>
      <c r="M48" s="13">
        <f t="shared" si="6"/>
        <v>145.59999999999991</v>
      </c>
      <c r="N48" s="14">
        <f t="shared" si="0"/>
        <v>3500</v>
      </c>
      <c r="O48" s="5">
        <v>0.03</v>
      </c>
      <c r="P48" s="33">
        <f t="shared" si="1"/>
        <v>14.559999999999992</v>
      </c>
      <c r="Q48" s="33">
        <f t="shared" si="2"/>
        <v>15.724799999999991</v>
      </c>
    </row>
    <row r="49" spans="1:17" x14ac:dyDescent="0.25">
      <c r="A49" s="5">
        <v>291</v>
      </c>
      <c r="B49" s="6" t="s">
        <v>78</v>
      </c>
      <c r="C49" s="7">
        <v>4250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/>
      <c r="J49" s="10">
        <v>35</v>
      </c>
      <c r="K49" s="11"/>
      <c r="L49" s="19"/>
      <c r="M49" s="13">
        <f t="shared" si="6"/>
        <v>860.80000000000018</v>
      </c>
      <c r="N49" s="14">
        <f t="shared" si="0"/>
        <v>4215</v>
      </c>
      <c r="O49" s="5">
        <v>0.03</v>
      </c>
      <c r="P49" s="33">
        <f t="shared" si="1"/>
        <v>86.080000000000027</v>
      </c>
      <c r="Q49" s="33">
        <f t="shared" si="2"/>
        <v>92.966400000000036</v>
      </c>
    </row>
    <row r="50" spans="1:17" x14ac:dyDescent="0.25">
      <c r="A50" s="5">
        <v>293</v>
      </c>
      <c r="B50" s="6" t="s">
        <v>89</v>
      </c>
      <c r="C50" s="7">
        <v>4000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3354.2</v>
      </c>
      <c r="I50" s="10">
        <v>375</v>
      </c>
      <c r="J50" s="10">
        <v>70</v>
      </c>
      <c r="K50" s="11"/>
      <c r="L50" s="12"/>
      <c r="M50" s="13">
        <f t="shared" si="6"/>
        <v>200.80000000000018</v>
      </c>
      <c r="N50" s="14">
        <f t="shared" si="0"/>
        <v>3555</v>
      </c>
      <c r="O50" s="5">
        <v>0.03</v>
      </c>
      <c r="P50" s="33">
        <f t="shared" si="1"/>
        <v>20.08000000000002</v>
      </c>
      <c r="Q50" s="33">
        <f t="shared" si="2"/>
        <v>21.686400000000024</v>
      </c>
    </row>
    <row r="51" spans="1:17" x14ac:dyDescent="0.25">
      <c r="A51" s="5">
        <v>294</v>
      </c>
      <c r="B51" s="6" t="s">
        <v>91</v>
      </c>
      <c r="C51" s="7">
        <v>4000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375</v>
      </c>
      <c r="J51" s="10">
        <v>70</v>
      </c>
      <c r="K51" s="21"/>
      <c r="L51" s="12"/>
      <c r="M51" s="13">
        <f t="shared" si="6"/>
        <v>200.59999999999991</v>
      </c>
      <c r="N51" s="14">
        <f t="shared" si="0"/>
        <v>3555</v>
      </c>
      <c r="O51" s="5">
        <v>0.03</v>
      </c>
      <c r="P51" s="33">
        <f t="shared" si="1"/>
        <v>20.059999999999992</v>
      </c>
      <c r="Q51" s="33">
        <f t="shared" si="2"/>
        <v>21.664799999999993</v>
      </c>
    </row>
    <row r="52" spans="1:17" x14ac:dyDescent="0.25">
      <c r="A52" s="5">
        <v>295</v>
      </c>
      <c r="B52" s="6" t="s">
        <v>104</v>
      </c>
      <c r="C52" s="7">
        <v>5500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3120.2</v>
      </c>
      <c r="I52" s="10">
        <v>75</v>
      </c>
      <c r="J52" s="10">
        <v>105</v>
      </c>
      <c r="K52" s="21">
        <v>293.92</v>
      </c>
      <c r="L52" s="12"/>
      <c r="M52" s="22">
        <f t="shared" si="6"/>
        <v>1905.88</v>
      </c>
      <c r="N52" s="14">
        <f t="shared" si="0"/>
        <v>5026.08</v>
      </c>
      <c r="O52" s="5" t="s">
        <v>118</v>
      </c>
      <c r="P52" s="33">
        <f t="shared" si="1"/>
        <v>190.58800000000002</v>
      </c>
      <c r="Q52" s="33">
        <f t="shared" si="2"/>
        <v>205.83504000000005</v>
      </c>
    </row>
    <row r="53" spans="1:17" x14ac:dyDescent="0.25">
      <c r="A53" s="5">
        <v>298</v>
      </c>
      <c r="B53" s="6" t="s">
        <v>115</v>
      </c>
      <c r="C53" s="7">
        <v>5000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1822.6</v>
      </c>
      <c r="I53" s="10">
        <v>375</v>
      </c>
      <c r="J53" s="10">
        <v>105</v>
      </c>
      <c r="K53" s="16">
        <f>1461.94</f>
        <v>1461.94</v>
      </c>
      <c r="L53" s="12"/>
      <c r="M53" s="22">
        <f t="shared" si="6"/>
        <v>1235.46</v>
      </c>
      <c r="N53" s="14">
        <f t="shared" si="0"/>
        <v>3058.06</v>
      </c>
      <c r="O53" s="5">
        <v>0.03</v>
      </c>
      <c r="P53" s="33">
        <f t="shared" si="1"/>
        <v>123.54600000000001</v>
      </c>
      <c r="Q53" s="33">
        <f t="shared" si="2"/>
        <v>133.42968000000002</v>
      </c>
    </row>
    <row r="54" spans="1:17" s="55" customFormat="1" x14ac:dyDescent="0.25">
      <c r="A54" s="5">
        <v>300</v>
      </c>
      <c r="B54" s="6" t="s">
        <v>121</v>
      </c>
      <c r="C54" s="7">
        <v>6250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3354.2</v>
      </c>
      <c r="I54" s="10"/>
      <c r="J54" s="10"/>
      <c r="K54" s="11"/>
      <c r="L54" s="12"/>
      <c r="M54" s="22">
        <f t="shared" si="6"/>
        <v>2895.8</v>
      </c>
      <c r="N54" s="14">
        <f t="shared" si="0"/>
        <v>6250</v>
      </c>
      <c r="O54" s="5">
        <v>0.03</v>
      </c>
      <c r="P54" s="33">
        <f t="shared" si="1"/>
        <v>289.58000000000004</v>
      </c>
      <c r="Q54" s="33">
        <f t="shared" si="2"/>
        <v>312.74640000000005</v>
      </c>
    </row>
    <row r="55" spans="1:17" s="55" customFormat="1" x14ac:dyDescent="0.25">
      <c r="A55" s="5">
        <v>301</v>
      </c>
      <c r="B55" s="6" t="s">
        <v>124</v>
      </c>
      <c r="C55" s="7">
        <v>5000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/>
      <c r="J55" s="10"/>
      <c r="K55" s="11"/>
      <c r="L55" s="12"/>
      <c r="M55" s="22">
        <f t="shared" si="6"/>
        <v>1645.6</v>
      </c>
      <c r="N55" s="14">
        <f t="shared" si="0"/>
        <v>5000</v>
      </c>
      <c r="O55" s="5">
        <v>0.03</v>
      </c>
      <c r="P55" s="33">
        <f t="shared" si="1"/>
        <v>164.56</v>
      </c>
      <c r="Q55" s="33">
        <f t="shared" si="2"/>
        <v>177.72480000000002</v>
      </c>
    </row>
    <row r="56" spans="1:17" s="55" customFormat="1" x14ac:dyDescent="0.25">
      <c r="A56" s="5">
        <v>302</v>
      </c>
      <c r="B56" s="6" t="s">
        <v>128</v>
      </c>
      <c r="C56" s="7">
        <v>5000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3354.2</v>
      </c>
      <c r="I56" s="10">
        <v>75</v>
      </c>
      <c r="J56" s="10">
        <v>35</v>
      </c>
      <c r="K56" s="11"/>
      <c r="L56" s="12"/>
      <c r="M56" s="22">
        <f t="shared" si="6"/>
        <v>1535.8000000000002</v>
      </c>
      <c r="N56" s="14">
        <f t="shared" si="0"/>
        <v>4890</v>
      </c>
      <c r="O56" s="5">
        <v>0.03</v>
      </c>
      <c r="P56" s="33">
        <f t="shared" si="1"/>
        <v>153.58000000000004</v>
      </c>
      <c r="Q56" s="33">
        <f t="shared" si="2"/>
        <v>165.86640000000006</v>
      </c>
    </row>
    <row r="57" spans="1:17" s="55" customFormat="1" x14ac:dyDescent="0.25">
      <c r="A57" s="5">
        <v>303</v>
      </c>
      <c r="B57" s="6" t="s">
        <v>129</v>
      </c>
      <c r="C57" s="7">
        <v>3500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3354.4</v>
      </c>
      <c r="I57" s="10"/>
      <c r="J57" s="10"/>
      <c r="K57" s="11"/>
      <c r="L57" s="12"/>
      <c r="M57" s="22">
        <f>C57-H57-I57+L57-K57-J57</f>
        <v>145.59999999999991</v>
      </c>
      <c r="N57" s="14">
        <f t="shared" si="0"/>
        <v>3500</v>
      </c>
      <c r="O57" s="5">
        <v>0.03</v>
      </c>
      <c r="P57" s="33">
        <f t="shared" si="1"/>
        <v>14.559999999999992</v>
      </c>
      <c r="Q57" s="33">
        <f t="shared" si="2"/>
        <v>15.724799999999991</v>
      </c>
    </row>
    <row r="58" spans="1:17" s="55" customFormat="1" x14ac:dyDescent="0.25">
      <c r="A58" s="5">
        <v>304</v>
      </c>
      <c r="B58" s="6" t="s">
        <v>131</v>
      </c>
      <c r="C58" s="7">
        <v>4500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3354.4</v>
      </c>
      <c r="I58" s="10">
        <v>300</v>
      </c>
      <c r="J58" s="10">
        <v>105</v>
      </c>
      <c r="K58" s="11"/>
      <c r="L58" s="12"/>
      <c r="M58" s="22">
        <f>C58-H58-I58+L58-K58-J58</f>
        <v>740.59999999999991</v>
      </c>
      <c r="N58" s="14">
        <f t="shared" si="0"/>
        <v>4095</v>
      </c>
      <c r="O58" s="5">
        <v>0.03</v>
      </c>
      <c r="P58" s="33">
        <f t="shared" si="1"/>
        <v>74.059999999999988</v>
      </c>
      <c r="Q58" s="33">
        <f t="shared" si="2"/>
        <v>79.984799999999993</v>
      </c>
    </row>
    <row r="59" spans="1:17" s="55" customFormat="1" x14ac:dyDescent="0.25">
      <c r="A59" s="42">
        <v>305</v>
      </c>
      <c r="B59" s="43" t="s">
        <v>132</v>
      </c>
      <c r="C59" s="44">
        <v>4000</v>
      </c>
      <c r="D59" s="44">
        <v>419.88</v>
      </c>
      <c r="E59" s="45">
        <f t="shared" si="3"/>
        <v>2519.2799999999997</v>
      </c>
      <c r="F59" s="45">
        <f t="shared" si="4"/>
        <v>419.88</v>
      </c>
      <c r="G59" s="46">
        <f t="shared" si="5"/>
        <v>2939.16</v>
      </c>
      <c r="H59" s="47"/>
      <c r="I59" s="10"/>
      <c r="J59" s="10"/>
      <c r="K59" s="49"/>
      <c r="L59" s="50"/>
      <c r="M59" s="51"/>
      <c r="N59" s="52">
        <f t="shared" si="0"/>
        <v>0</v>
      </c>
      <c r="O59" s="42">
        <v>0.03</v>
      </c>
      <c r="P59" s="54">
        <f t="shared" si="1"/>
        <v>0</v>
      </c>
      <c r="Q59" s="54">
        <f t="shared" si="2"/>
        <v>0</v>
      </c>
    </row>
    <row r="60" spans="1:17" s="55" customFormat="1" x14ac:dyDescent="0.25">
      <c r="A60" s="5">
        <v>306</v>
      </c>
      <c r="B60" s="6" t="s">
        <v>136</v>
      </c>
      <c r="C60" s="7">
        <v>4000</v>
      </c>
      <c r="D60" s="7">
        <v>419.88</v>
      </c>
      <c r="E60" s="8">
        <f t="shared" si="3"/>
        <v>2519.2799999999997</v>
      </c>
      <c r="F60" s="8">
        <f t="shared" si="4"/>
        <v>419.88</v>
      </c>
      <c r="G60" s="9">
        <f t="shared" si="5"/>
        <v>2939.16</v>
      </c>
      <c r="H60" s="115">
        <v>3354.2</v>
      </c>
      <c r="I60" s="10">
        <v>75</v>
      </c>
      <c r="J60" s="10">
        <v>35</v>
      </c>
      <c r="K60" s="11"/>
      <c r="L60" s="12"/>
      <c r="M60" s="22">
        <f>C60-H60-I60+L60-K60-J60</f>
        <v>535.80000000000018</v>
      </c>
      <c r="N60" s="14">
        <f t="shared" si="0"/>
        <v>3890</v>
      </c>
      <c r="O60" s="5">
        <v>0.03</v>
      </c>
      <c r="P60" s="33">
        <f t="shared" si="1"/>
        <v>53.58000000000002</v>
      </c>
      <c r="Q60" s="33">
        <f t="shared" si="2"/>
        <v>57.866400000000027</v>
      </c>
    </row>
    <row r="61" spans="1:17" s="55" customFormat="1" x14ac:dyDescent="0.25">
      <c r="A61" s="5">
        <v>307</v>
      </c>
      <c r="B61" s="6" t="s">
        <v>140</v>
      </c>
      <c r="C61" s="7">
        <v>4000</v>
      </c>
      <c r="D61" s="7">
        <v>419.88</v>
      </c>
      <c r="E61" s="8">
        <f t="shared" si="3"/>
        <v>2519.2799999999997</v>
      </c>
      <c r="F61" s="8">
        <f t="shared" si="4"/>
        <v>419.88</v>
      </c>
      <c r="G61" s="9">
        <f t="shared" si="5"/>
        <v>2939.16</v>
      </c>
      <c r="H61" s="115">
        <v>3354.2</v>
      </c>
      <c r="I61" s="10">
        <v>375</v>
      </c>
      <c r="J61" s="10">
        <v>140</v>
      </c>
      <c r="K61" s="11"/>
      <c r="L61" s="12"/>
      <c r="M61" s="22">
        <f>C61-H61-I61+L61-K61-J61</f>
        <v>130.80000000000018</v>
      </c>
      <c r="N61" s="14">
        <f t="shared" si="0"/>
        <v>3485</v>
      </c>
      <c r="O61" s="5">
        <v>0.03</v>
      </c>
      <c r="P61" s="33">
        <f t="shared" si="1"/>
        <v>13.08000000000002</v>
      </c>
      <c r="Q61" s="33">
        <f t="shared" si="2"/>
        <v>14.126400000000022</v>
      </c>
    </row>
    <row r="62" spans="1:17" s="55" customFormat="1" x14ac:dyDescent="0.25">
      <c r="A62" s="5">
        <v>308</v>
      </c>
      <c r="B62" s="6" t="s">
        <v>138</v>
      </c>
      <c r="C62" s="7">
        <v>2700</v>
      </c>
      <c r="D62" s="7">
        <v>420.88</v>
      </c>
      <c r="E62" s="8">
        <f>D62*6</f>
        <v>2525.2799999999997</v>
      </c>
      <c r="F62" s="8">
        <f t="shared" si="4"/>
        <v>419.88</v>
      </c>
      <c r="G62" s="9">
        <f>E62+F62</f>
        <v>2945.16</v>
      </c>
      <c r="H62" s="115">
        <v>2560</v>
      </c>
      <c r="I62" s="10"/>
      <c r="J62" s="10">
        <v>140</v>
      </c>
      <c r="K62" s="11"/>
      <c r="L62" s="12"/>
      <c r="M62" s="22">
        <f>C62-H62-I62+L62-K62-J62</f>
        <v>0</v>
      </c>
      <c r="N62" s="14">
        <f>H62+M62</f>
        <v>2560</v>
      </c>
      <c r="O62" s="5">
        <v>0.03</v>
      </c>
      <c r="P62" s="33">
        <f>+M62*0.1</f>
        <v>0</v>
      </c>
      <c r="Q62" s="33">
        <f>+P62*1.08</f>
        <v>0</v>
      </c>
    </row>
    <row r="63" spans="1:17" s="55" customFormat="1" x14ac:dyDescent="0.25">
      <c r="A63" s="5">
        <v>309</v>
      </c>
      <c r="B63" s="6" t="s">
        <v>143</v>
      </c>
      <c r="C63" s="7">
        <v>4000</v>
      </c>
      <c r="D63" s="7">
        <v>419.88</v>
      </c>
      <c r="E63" s="8">
        <f>D63*6</f>
        <v>2519.2799999999997</v>
      </c>
      <c r="F63" s="8">
        <f t="shared" si="4"/>
        <v>419.88</v>
      </c>
      <c r="G63" s="9">
        <f>E63+F63</f>
        <v>2939.16</v>
      </c>
      <c r="H63" s="115">
        <v>2601.4</v>
      </c>
      <c r="I63" s="10"/>
      <c r="J63" s="10"/>
      <c r="K63" s="11">
        <v>1333.3333333333335</v>
      </c>
      <c r="L63" s="12"/>
      <c r="M63" s="22">
        <f>C63-H63-I63+L63-K63-J63</f>
        <v>65.266666666666424</v>
      </c>
      <c r="N63" s="14">
        <f>H63+M63</f>
        <v>2666.6666666666665</v>
      </c>
      <c r="O63" s="5">
        <v>0.03</v>
      </c>
      <c r="P63" s="33">
        <f>+M63*0.1</f>
        <v>6.5266666666666424</v>
      </c>
      <c r="Q63" s="33">
        <f>+P63*1.08</f>
        <v>7.0487999999999742</v>
      </c>
    </row>
    <row r="64" spans="1:17" s="55" customFormat="1" ht="16.149999999999999" customHeight="1" thickBot="1" x14ac:dyDescent="0.3">
      <c r="A64"/>
      <c r="B64"/>
      <c r="C64"/>
      <c r="D64"/>
      <c r="E64"/>
      <c r="F64"/>
      <c r="G64"/>
      <c r="H64" s="117"/>
      <c r="I64"/>
      <c r="J64"/>
      <c r="K64"/>
      <c r="L64"/>
      <c r="M64"/>
      <c r="N64"/>
      <c r="O64"/>
      <c r="P64"/>
      <c r="Q64"/>
    </row>
    <row r="65" spans="1:18" ht="18" thickBot="1" x14ac:dyDescent="0.35">
      <c r="A65" s="23"/>
      <c r="B65" s="24"/>
      <c r="C65" s="25">
        <f>SUM(C4:C64)</f>
        <v>296075</v>
      </c>
      <c r="D65" s="25">
        <f t="shared" ref="D65:J65" si="8">SUM(D4:D64)</f>
        <v>25193.800000000007</v>
      </c>
      <c r="E65" s="25">
        <f t="shared" si="8"/>
        <v>148643.51999999996</v>
      </c>
      <c r="F65" s="25">
        <f t="shared" si="8"/>
        <v>24772.920000000006</v>
      </c>
      <c r="G65" s="25">
        <f t="shared" si="8"/>
        <v>173416.44000000015</v>
      </c>
      <c r="H65" s="118">
        <f>SUM(H4:H64)</f>
        <v>191141.2</v>
      </c>
      <c r="I65" s="26">
        <f t="shared" si="8"/>
        <v>10425</v>
      </c>
      <c r="J65" s="26">
        <f t="shared" si="8"/>
        <v>3220</v>
      </c>
      <c r="K65" s="26">
        <f>SUM(K4:K64)</f>
        <v>15232.133333333335</v>
      </c>
      <c r="L65" s="27">
        <f>SUM(L4:L64)</f>
        <v>9964.2900000000009</v>
      </c>
      <c r="M65" s="25">
        <f>SUM(M4:M64)</f>
        <v>82021.15666666675</v>
      </c>
      <c r="N65" s="25">
        <f>SUM(N4:N64)</f>
        <v>273162.35666666663</v>
      </c>
      <c r="P65" s="25">
        <f>SUM(P4:P64)</f>
        <v>8202.1156666666702</v>
      </c>
      <c r="Q65" s="25">
        <f>SUM(Q4:Q64)</f>
        <v>8858.2849200000019</v>
      </c>
      <c r="R65" s="55">
        <f>+N65+Q65</f>
        <v>282020.64158666664</v>
      </c>
    </row>
    <row r="66" spans="1:18" x14ac:dyDescent="0.25">
      <c r="I66" s="15">
        <f>I65/75</f>
        <v>139</v>
      </c>
      <c r="J66" s="15">
        <f>J65/35</f>
        <v>92</v>
      </c>
    </row>
  </sheetData>
  <autoFilter ref="A3:Q63" xr:uid="{00000000-0009-0000-0000-000019000000}"/>
  <mergeCells count="2">
    <mergeCell ref="A1:N1"/>
    <mergeCell ref="A2:N2"/>
  </mergeCells>
  <pageMargins left="0.25" right="0.25" top="0.75" bottom="0.75" header="0.3" footer="0.3"/>
  <pageSetup scale="59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pageSetUpPr fitToPage="1"/>
  </sheetPr>
  <dimension ref="A1:R64"/>
  <sheetViews>
    <sheetView showGridLines="0" topLeftCell="A42" zoomScaleNormal="100" workbookViewId="0">
      <selection activeCell="L36" sqref="L36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77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4</v>
      </c>
      <c r="B4" s="6" t="s">
        <v>13</v>
      </c>
      <c r="C4" s="7">
        <v>7500</v>
      </c>
      <c r="D4" s="7">
        <v>419.88</v>
      </c>
      <c r="E4" s="8">
        <f>D4*6</f>
        <v>2519.2799999999997</v>
      </c>
      <c r="F4" s="8">
        <f>$D$4</f>
        <v>419.88</v>
      </c>
      <c r="G4" s="9">
        <f>E4+F4</f>
        <v>2939.16</v>
      </c>
      <c r="H4" s="37">
        <v>2649</v>
      </c>
      <c r="I4" s="10">
        <v>375</v>
      </c>
      <c r="J4" s="10">
        <v>35</v>
      </c>
      <c r="K4" s="16">
        <v>694.8</v>
      </c>
      <c r="L4" s="12"/>
      <c r="M4" s="13">
        <f>C4-H4-I4+L4-K4-J4</f>
        <v>3746.2</v>
      </c>
      <c r="N4" s="14">
        <f t="shared" ref="N4:N56" si="0">H4+M4</f>
        <v>6395.2</v>
      </c>
      <c r="O4" s="34" t="s">
        <v>48</v>
      </c>
      <c r="P4" s="33">
        <f t="shared" ref="P4:P56" si="1">+M4*0.1</f>
        <v>374.62</v>
      </c>
      <c r="Q4" s="33">
        <f t="shared" ref="Q4:Q56" si="2">+P4*1.08</f>
        <v>404.58960000000002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6" si="3">D5*6</f>
        <v>2519.2799999999997</v>
      </c>
      <c r="F5" s="8">
        <f>$D$4</f>
        <v>419.88</v>
      </c>
      <c r="G5" s="9">
        <f t="shared" ref="G5:G56" si="4">E5+F5</f>
        <v>2939.16</v>
      </c>
      <c r="H5" s="37">
        <v>3354.2</v>
      </c>
      <c r="I5" s="10">
        <v>225</v>
      </c>
      <c r="J5" s="10">
        <v>0</v>
      </c>
      <c r="K5" s="11"/>
      <c r="L5" s="12"/>
      <c r="M5" s="13">
        <f>C5-H5-I5+L5-K5-J5</f>
        <v>420.80000000000018</v>
      </c>
      <c r="N5" s="14">
        <f t="shared" si="0"/>
        <v>3775</v>
      </c>
      <c r="O5" s="29" t="s">
        <v>47</v>
      </c>
      <c r="P5" s="33">
        <f t="shared" si="1"/>
        <v>42.08000000000002</v>
      </c>
      <c r="Q5" s="33">
        <f t="shared" si="2"/>
        <v>45.446400000000025</v>
      </c>
    </row>
    <row r="6" spans="1:17" x14ac:dyDescent="0.25">
      <c r="A6" s="36">
        <v>14</v>
      </c>
      <c r="B6" s="6" t="s">
        <v>15</v>
      </c>
      <c r="C6" s="7">
        <v>8750</v>
      </c>
      <c r="D6" s="7">
        <v>419.88</v>
      </c>
      <c r="E6" s="8">
        <f t="shared" si="3"/>
        <v>2519.2799999999997</v>
      </c>
      <c r="F6" s="8">
        <f t="shared" ref="F6:F14" si="5">$D$4</f>
        <v>419.88</v>
      </c>
      <c r="G6" s="9">
        <f t="shared" si="4"/>
        <v>2939.16</v>
      </c>
      <c r="H6" s="38">
        <v>3354.2</v>
      </c>
      <c r="I6" s="18">
        <v>225</v>
      </c>
      <c r="J6" s="18">
        <v>0</v>
      </c>
      <c r="K6" s="11"/>
      <c r="L6" s="12"/>
      <c r="M6" s="13">
        <f t="shared" ref="M6:M56" si="6">C6-H6-I6+L6-K6-J6</f>
        <v>5170.8</v>
      </c>
      <c r="N6" s="14">
        <f t="shared" si="0"/>
        <v>8525</v>
      </c>
      <c r="O6" s="30" t="s">
        <v>47</v>
      </c>
      <c r="P6" s="33">
        <f t="shared" si="1"/>
        <v>517.08000000000004</v>
      </c>
      <c r="Q6" s="33">
        <f t="shared" si="2"/>
        <v>558.44640000000004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5"/>
        <v>419.88</v>
      </c>
      <c r="G7" s="9">
        <f t="shared" si="4"/>
        <v>2939.16</v>
      </c>
      <c r="H7" s="38">
        <v>3354.4</v>
      </c>
      <c r="I7" s="10">
        <v>75</v>
      </c>
      <c r="J7" s="10">
        <v>105</v>
      </c>
      <c r="K7" s="21"/>
      <c r="L7" s="12"/>
      <c r="M7" s="13">
        <f t="shared" si="6"/>
        <v>465.59999999999991</v>
      </c>
      <c r="N7" s="14">
        <f t="shared" si="0"/>
        <v>3820</v>
      </c>
      <c r="O7" s="36" t="s">
        <v>47</v>
      </c>
      <c r="P7" s="33">
        <f t="shared" si="1"/>
        <v>46.559999999999995</v>
      </c>
      <c r="Q7" s="33">
        <f t="shared" si="2"/>
        <v>50.284799999999997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5"/>
        <v>419.88</v>
      </c>
      <c r="G8" s="9">
        <f t="shared" si="4"/>
        <v>2939.16</v>
      </c>
      <c r="H8" s="37">
        <v>2903.2</v>
      </c>
      <c r="I8" s="10">
        <v>300</v>
      </c>
      <c r="J8" s="10">
        <v>0</v>
      </c>
      <c r="K8" s="11"/>
      <c r="L8" s="12"/>
      <c r="M8" s="13">
        <f t="shared" si="6"/>
        <v>1296.8000000000002</v>
      </c>
      <c r="N8" s="14">
        <f t="shared" si="0"/>
        <v>4200</v>
      </c>
      <c r="O8" s="30" t="s">
        <v>47</v>
      </c>
      <c r="P8" s="33">
        <f t="shared" si="1"/>
        <v>129.68000000000004</v>
      </c>
      <c r="Q8" s="33">
        <f t="shared" si="2"/>
        <v>140.05440000000004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5"/>
        <v>419.88</v>
      </c>
      <c r="G9" s="9">
        <f t="shared" si="4"/>
        <v>2939.16</v>
      </c>
      <c r="H9" s="37">
        <v>3096.6</v>
      </c>
      <c r="I9" s="10">
        <v>150</v>
      </c>
      <c r="J9" s="10">
        <v>70</v>
      </c>
      <c r="K9" s="16">
        <v>257.74</v>
      </c>
      <c r="L9" s="19"/>
      <c r="M9" s="13">
        <f>C9-H9-I9+L9-K9-J9</f>
        <v>425.66000000000008</v>
      </c>
      <c r="N9" s="14">
        <f t="shared" si="0"/>
        <v>3522.26</v>
      </c>
      <c r="O9" s="30" t="s">
        <v>47</v>
      </c>
      <c r="P9" s="33">
        <f t="shared" si="1"/>
        <v>42.56600000000001</v>
      </c>
      <c r="Q9" s="33">
        <f t="shared" si="2"/>
        <v>45.971280000000014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5"/>
        <v>419.88</v>
      </c>
      <c r="G10" s="9">
        <f t="shared" si="4"/>
        <v>2939.16</v>
      </c>
      <c r="H10" s="37">
        <v>3354.4</v>
      </c>
      <c r="I10" s="10">
        <v>0</v>
      </c>
      <c r="J10" s="10">
        <v>0</v>
      </c>
      <c r="K10" s="20"/>
      <c r="L10" s="19"/>
      <c r="M10" s="13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5"/>
        <v>419.88</v>
      </c>
      <c r="G11" s="9">
        <f t="shared" si="4"/>
        <v>2939.16</v>
      </c>
      <c r="H11" s="37">
        <v>3354.2</v>
      </c>
      <c r="I11" s="10">
        <v>0</v>
      </c>
      <c r="J11" s="10">
        <v>0</v>
      </c>
      <c r="K11" s="11"/>
      <c r="L11" s="19"/>
      <c r="M11" s="13">
        <f>C11-H11-I11+L11-K11-J11</f>
        <v>3645.8</v>
      </c>
      <c r="N11" s="14">
        <f t="shared" si="0"/>
        <v>7000</v>
      </c>
      <c r="O11" s="30" t="s">
        <v>47</v>
      </c>
      <c r="P11" s="33">
        <f t="shared" si="1"/>
        <v>364.58000000000004</v>
      </c>
      <c r="Q11" s="33">
        <f t="shared" si="2"/>
        <v>393.74640000000005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5"/>
        <v>419.88</v>
      </c>
      <c r="G12" s="9">
        <f t="shared" si="4"/>
        <v>2939.16</v>
      </c>
      <c r="H12" s="37">
        <v>3120.2</v>
      </c>
      <c r="I12" s="10">
        <v>0</v>
      </c>
      <c r="J12" s="10">
        <v>35</v>
      </c>
      <c r="K12" s="21">
        <v>293.92</v>
      </c>
      <c r="L12" s="12"/>
      <c r="M12" s="13">
        <f>C12-H12-I12+L12-K12-J12</f>
        <v>1550.88</v>
      </c>
      <c r="N12" s="14">
        <f t="shared" si="0"/>
        <v>4671.08</v>
      </c>
      <c r="O12" s="30" t="s">
        <v>47</v>
      </c>
      <c r="P12" s="33">
        <f t="shared" si="1"/>
        <v>155.08800000000002</v>
      </c>
      <c r="Q12" s="33">
        <f t="shared" si="2"/>
        <v>167.49504000000005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5"/>
        <v>419.88</v>
      </c>
      <c r="G13" s="9">
        <f t="shared" si="4"/>
        <v>2939.16</v>
      </c>
      <c r="H13" s="37">
        <v>3275</v>
      </c>
      <c r="I13" s="10">
        <v>225</v>
      </c>
      <c r="J13" s="10">
        <v>0</v>
      </c>
      <c r="K13" s="21"/>
      <c r="L13" s="12"/>
      <c r="M13" s="13">
        <f>C13-H13-I13+L13-K13-J13</f>
        <v>0</v>
      </c>
      <c r="N13" s="14">
        <f t="shared" si="0"/>
        <v>3275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3500</v>
      </c>
      <c r="D14" s="7">
        <v>419.88</v>
      </c>
      <c r="E14" s="8">
        <f t="shared" si="3"/>
        <v>2519.2799999999997</v>
      </c>
      <c r="F14" s="8">
        <f t="shared" si="5"/>
        <v>419.88</v>
      </c>
      <c r="G14" s="9">
        <f t="shared" si="4"/>
        <v>2939.16</v>
      </c>
      <c r="H14" s="38">
        <v>2842.2</v>
      </c>
      <c r="I14" s="10">
        <v>0</v>
      </c>
      <c r="J14" s="10">
        <f>70-0.04</f>
        <v>69.959999999999994</v>
      </c>
      <c r="K14" s="21">
        <v>587.84</v>
      </c>
      <c r="L14" s="12"/>
      <c r="M14" s="13">
        <f>C14-H14-I14+L14-K14-J14</f>
        <v>1.5631940186722204E-13</v>
      </c>
      <c r="N14" s="14">
        <f t="shared" si="0"/>
        <v>2842.2</v>
      </c>
      <c r="O14" s="36" t="s">
        <v>47</v>
      </c>
      <c r="P14" s="33">
        <f t="shared" si="1"/>
        <v>1.5631940186722205E-14</v>
      </c>
      <c r="Q14" s="33">
        <f t="shared" si="2"/>
        <v>1.6882495401659983E-14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ref="F15:F21" si="7">$D$4</f>
        <v>419.88</v>
      </c>
      <c r="G15" s="9">
        <f t="shared" si="4"/>
        <v>2939.16</v>
      </c>
      <c r="H15" s="37">
        <v>3354.4</v>
      </c>
      <c r="I15" s="10">
        <v>0</v>
      </c>
      <c r="J15" s="10">
        <v>0</v>
      </c>
      <c r="K15" s="22"/>
      <c r="L15" s="12"/>
      <c r="M15" s="13">
        <f t="shared" si="6"/>
        <v>645.59999999999991</v>
      </c>
      <c r="N15" s="14">
        <f t="shared" si="0"/>
        <v>4000</v>
      </c>
      <c r="O15" s="30" t="s">
        <v>47</v>
      </c>
      <c r="P15" s="33">
        <f t="shared" si="1"/>
        <v>64.559999999999988</v>
      </c>
      <c r="Q15" s="33">
        <f t="shared" si="2"/>
        <v>69.724799999999988</v>
      </c>
    </row>
    <row r="16" spans="1:17" x14ac:dyDescent="0.25">
      <c r="A16" s="5">
        <v>151</v>
      </c>
      <c r="B16" s="6" t="s">
        <v>25</v>
      </c>
      <c r="C16" s="7">
        <v>3500</v>
      </c>
      <c r="D16" s="7">
        <v>419.88</v>
      </c>
      <c r="E16" s="8">
        <f t="shared" si="3"/>
        <v>2519.2799999999997</v>
      </c>
      <c r="F16" s="8">
        <f t="shared" si="7"/>
        <v>419.88</v>
      </c>
      <c r="G16" s="9">
        <f t="shared" si="4"/>
        <v>2939.16</v>
      </c>
      <c r="H16" s="37">
        <v>3354.2</v>
      </c>
      <c r="I16" s="10">
        <v>0</v>
      </c>
      <c r="J16" s="10">
        <v>0</v>
      </c>
      <c r="K16" s="21"/>
      <c r="L16" s="12"/>
      <c r="M16" s="13">
        <f t="shared" si="6"/>
        <v>145.80000000000018</v>
      </c>
      <c r="N16" s="14">
        <f t="shared" si="0"/>
        <v>3500</v>
      </c>
      <c r="O16" s="29" t="s">
        <v>47</v>
      </c>
      <c r="P16" s="33">
        <f t="shared" si="1"/>
        <v>14.58000000000002</v>
      </c>
      <c r="Q16" s="33">
        <f t="shared" si="2"/>
        <v>15.746400000000023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7"/>
        <v>419.88</v>
      </c>
      <c r="G17" s="9">
        <f t="shared" si="4"/>
        <v>2939.16</v>
      </c>
      <c r="H17" s="37">
        <v>3354.2</v>
      </c>
      <c r="I17" s="10">
        <v>75</v>
      </c>
      <c r="J17" s="10">
        <v>0</v>
      </c>
      <c r="K17" s="21"/>
      <c r="L17" s="19"/>
      <c r="M17" s="13">
        <f t="shared" si="6"/>
        <v>570.80000000000018</v>
      </c>
      <c r="N17" s="14">
        <f t="shared" si="0"/>
        <v>3925</v>
      </c>
      <c r="O17" s="29" t="s">
        <v>47</v>
      </c>
      <c r="P17" s="33">
        <f t="shared" si="1"/>
        <v>57.08000000000002</v>
      </c>
      <c r="Q17" s="33">
        <f t="shared" si="2"/>
        <v>61.646400000000028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7"/>
        <v>419.88</v>
      </c>
      <c r="G18" s="9">
        <f t="shared" si="4"/>
        <v>2939.16</v>
      </c>
      <c r="H18" s="37">
        <v>2879.2</v>
      </c>
      <c r="I18" s="10">
        <v>150</v>
      </c>
      <c r="J18" s="10">
        <v>105</v>
      </c>
      <c r="K18" s="63">
        <v>587.84</v>
      </c>
      <c r="L18" s="12"/>
      <c r="M18" s="13">
        <f t="shared" si="6"/>
        <v>277.96000000000015</v>
      </c>
      <c r="N18" s="14">
        <f t="shared" si="0"/>
        <v>3157.16</v>
      </c>
      <c r="O18" s="29" t="s">
        <v>47</v>
      </c>
      <c r="P18" s="33">
        <f t="shared" si="1"/>
        <v>27.796000000000017</v>
      </c>
      <c r="Q18" s="33">
        <f t="shared" si="2"/>
        <v>30.019680000000019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7"/>
        <v>419.88</v>
      </c>
      <c r="G19" s="9">
        <f t="shared" si="4"/>
        <v>2939.16</v>
      </c>
      <c r="H19" s="37">
        <v>2345</v>
      </c>
      <c r="I19" s="10">
        <v>0</v>
      </c>
      <c r="J19" s="10">
        <v>0</v>
      </c>
      <c r="K19" s="16">
        <v>938.81</v>
      </c>
      <c r="L19" s="19"/>
      <c r="M19" s="13">
        <f t="shared" si="6"/>
        <v>6716.1900000000005</v>
      </c>
      <c r="N19" s="14">
        <f t="shared" si="0"/>
        <v>9061.19</v>
      </c>
      <c r="O19" s="29" t="s">
        <v>50</v>
      </c>
      <c r="P19" s="33">
        <f t="shared" si="1"/>
        <v>671.61900000000014</v>
      </c>
      <c r="Q19" s="33">
        <f t="shared" si="2"/>
        <v>725.34852000000024</v>
      </c>
    </row>
    <row r="20" spans="1:17" x14ac:dyDescent="0.25">
      <c r="A20" s="5">
        <v>184</v>
      </c>
      <c r="B20" s="6" t="s">
        <v>29</v>
      </c>
      <c r="C20" s="7">
        <v>7000</v>
      </c>
      <c r="D20" s="7">
        <v>419.88</v>
      </c>
      <c r="E20" s="8">
        <f t="shared" si="3"/>
        <v>2519.2799999999997</v>
      </c>
      <c r="F20" s="8">
        <f t="shared" si="7"/>
        <v>419.88</v>
      </c>
      <c r="G20" s="9">
        <f t="shared" si="4"/>
        <v>2939.16</v>
      </c>
      <c r="H20" s="37">
        <v>3354.4</v>
      </c>
      <c r="I20" s="10">
        <v>375</v>
      </c>
      <c r="J20" s="10">
        <v>140</v>
      </c>
      <c r="K20" s="21"/>
      <c r="L20" s="19"/>
      <c r="M20" s="13">
        <f t="shared" si="6"/>
        <v>3130.6</v>
      </c>
      <c r="N20" s="14">
        <f t="shared" si="0"/>
        <v>6485</v>
      </c>
      <c r="O20" s="29" t="s">
        <v>47</v>
      </c>
      <c r="P20" s="33">
        <f t="shared" si="1"/>
        <v>313.06</v>
      </c>
      <c r="Q20" s="33">
        <f t="shared" si="2"/>
        <v>338.10480000000001</v>
      </c>
    </row>
    <row r="21" spans="1:17" s="55" customFormat="1" x14ac:dyDescent="0.25">
      <c r="A21" s="5">
        <v>199</v>
      </c>
      <c r="B21" s="6" t="s">
        <v>31</v>
      </c>
      <c r="C21" s="7">
        <v>4000</v>
      </c>
      <c r="D21" s="7">
        <v>419.88</v>
      </c>
      <c r="E21" s="8">
        <f t="shared" si="3"/>
        <v>2519.2799999999997</v>
      </c>
      <c r="F21" s="8">
        <f t="shared" si="7"/>
        <v>419.88</v>
      </c>
      <c r="G21" s="9">
        <f t="shared" si="4"/>
        <v>2939.16</v>
      </c>
      <c r="H21" s="37">
        <v>3354.4</v>
      </c>
      <c r="I21" s="10">
        <v>0</v>
      </c>
      <c r="J21" s="10">
        <v>0</v>
      </c>
      <c r="K21" s="16">
        <v>500</v>
      </c>
      <c r="L21" s="19"/>
      <c r="M21" s="13">
        <f t="shared" si="6"/>
        <v>145.59999999999991</v>
      </c>
      <c r="N21" s="14">
        <f t="shared" si="0"/>
        <v>3500</v>
      </c>
      <c r="O21" s="29" t="s">
        <v>47</v>
      </c>
      <c r="P21" s="33">
        <f t="shared" si="1"/>
        <v>14.559999999999992</v>
      </c>
      <c r="Q21" s="33">
        <f t="shared" si="2"/>
        <v>15.724799999999991</v>
      </c>
    </row>
    <row r="22" spans="1:17" s="55" customFormat="1" ht="13.5" customHeight="1" x14ac:dyDescent="0.25">
      <c r="A22" s="5">
        <v>204</v>
      </c>
      <c r="B22" s="6" t="s">
        <v>33</v>
      </c>
      <c r="C22" s="7">
        <v>4000</v>
      </c>
      <c r="D22" s="7">
        <v>419.88</v>
      </c>
      <c r="E22" s="8">
        <f t="shared" si="3"/>
        <v>2519.2799999999997</v>
      </c>
      <c r="F22" s="8">
        <f t="shared" ref="F22:F37" si="8">$D$4</f>
        <v>419.88</v>
      </c>
      <c r="G22" s="9">
        <f t="shared" si="4"/>
        <v>2939.16</v>
      </c>
      <c r="H22" s="37">
        <v>3354.4</v>
      </c>
      <c r="I22" s="10">
        <v>75</v>
      </c>
      <c r="J22" s="10">
        <v>140</v>
      </c>
      <c r="K22" s="11"/>
      <c r="L22" s="19"/>
      <c r="M22" s="13">
        <f t="shared" si="6"/>
        <v>430.59999999999991</v>
      </c>
      <c r="N22" s="14">
        <f t="shared" si="0"/>
        <v>3785</v>
      </c>
      <c r="O22" s="29" t="s">
        <v>47</v>
      </c>
      <c r="P22" s="33">
        <f t="shared" si="1"/>
        <v>43.059999999999995</v>
      </c>
      <c r="Q22" s="33">
        <f t="shared" si="2"/>
        <v>46.504799999999996</v>
      </c>
    </row>
    <row r="23" spans="1:17" s="55" customFormat="1" x14ac:dyDescent="0.25">
      <c r="A23" s="5">
        <v>213</v>
      </c>
      <c r="B23" s="6" t="s">
        <v>34</v>
      </c>
      <c r="C23" s="7">
        <v>3500</v>
      </c>
      <c r="D23" s="7">
        <v>419.88</v>
      </c>
      <c r="E23" s="8">
        <f t="shared" si="3"/>
        <v>2519.2799999999997</v>
      </c>
      <c r="F23" s="8">
        <f t="shared" si="8"/>
        <v>419.88</v>
      </c>
      <c r="G23" s="9">
        <f t="shared" si="4"/>
        <v>2939.16</v>
      </c>
      <c r="H23" s="37">
        <v>3354.2</v>
      </c>
      <c r="I23" s="10">
        <v>0</v>
      </c>
      <c r="J23" s="10">
        <v>0</v>
      </c>
      <c r="K23" s="11"/>
      <c r="L23" s="19"/>
      <c r="M23" s="13">
        <f t="shared" si="6"/>
        <v>145.80000000000018</v>
      </c>
      <c r="N23" s="14">
        <f t="shared" si="0"/>
        <v>3500</v>
      </c>
      <c r="O23" s="29" t="s">
        <v>50</v>
      </c>
      <c r="P23" s="33">
        <f t="shared" si="1"/>
        <v>14.58000000000002</v>
      </c>
      <c r="Q23" s="33">
        <f t="shared" si="2"/>
        <v>15.746400000000023</v>
      </c>
    </row>
    <row r="24" spans="1:17" s="55" customFormat="1" x14ac:dyDescent="0.25">
      <c r="A24" s="5">
        <v>215</v>
      </c>
      <c r="B24" s="6" t="s">
        <v>35</v>
      </c>
      <c r="C24" s="7">
        <v>5000</v>
      </c>
      <c r="D24" s="7">
        <v>419.88</v>
      </c>
      <c r="E24" s="8">
        <f t="shared" si="3"/>
        <v>2519.2799999999997</v>
      </c>
      <c r="F24" s="8">
        <f t="shared" si="8"/>
        <v>419.88</v>
      </c>
      <c r="G24" s="9">
        <f t="shared" si="4"/>
        <v>2939.16</v>
      </c>
      <c r="H24" s="37">
        <v>3354.4</v>
      </c>
      <c r="I24" s="10">
        <v>225</v>
      </c>
      <c r="J24" s="10">
        <v>35</v>
      </c>
      <c r="K24" s="21"/>
      <c r="L24" s="19"/>
      <c r="M24" s="13">
        <f t="shared" si="6"/>
        <v>1385.6</v>
      </c>
      <c r="N24" s="14">
        <f t="shared" si="0"/>
        <v>4740</v>
      </c>
      <c r="O24" s="29" t="s">
        <v>47</v>
      </c>
      <c r="P24" s="33">
        <f t="shared" si="1"/>
        <v>138.56</v>
      </c>
      <c r="Q24" s="33">
        <f t="shared" si="2"/>
        <v>149.6448</v>
      </c>
    </row>
    <row r="25" spans="1:17" s="55" customFormat="1" x14ac:dyDescent="0.25">
      <c r="A25" s="5">
        <v>218</v>
      </c>
      <c r="B25" s="6" t="s">
        <v>36</v>
      </c>
      <c r="C25" s="7">
        <v>3500</v>
      </c>
      <c r="D25" s="7">
        <v>419.88</v>
      </c>
      <c r="E25" s="8">
        <f t="shared" si="3"/>
        <v>2519.2799999999997</v>
      </c>
      <c r="F25" s="8">
        <f t="shared" si="8"/>
        <v>419.88</v>
      </c>
      <c r="G25" s="9">
        <f t="shared" si="4"/>
        <v>2939.16</v>
      </c>
      <c r="H25" s="37">
        <v>3354.4</v>
      </c>
      <c r="I25" s="10">
        <v>0</v>
      </c>
      <c r="J25" s="10">
        <v>0</v>
      </c>
      <c r="K25" s="21"/>
      <c r="L25" s="12"/>
      <c r="M25" s="13">
        <f t="shared" si="6"/>
        <v>145.59999999999991</v>
      </c>
      <c r="N25" s="14">
        <f t="shared" si="0"/>
        <v>3500</v>
      </c>
      <c r="O25" s="29" t="s">
        <v>49</v>
      </c>
      <c r="P25" s="33">
        <f t="shared" si="1"/>
        <v>14.559999999999992</v>
      </c>
      <c r="Q25" s="33">
        <f t="shared" si="2"/>
        <v>15.724799999999991</v>
      </c>
    </row>
    <row r="26" spans="1:17" s="55" customFormat="1" x14ac:dyDescent="0.25">
      <c r="A26" s="36">
        <v>220</v>
      </c>
      <c r="B26" s="6" t="s">
        <v>37</v>
      </c>
      <c r="C26" s="7">
        <v>3500</v>
      </c>
      <c r="D26" s="7">
        <v>419.88</v>
      </c>
      <c r="E26" s="8">
        <f t="shared" si="3"/>
        <v>2519.2799999999997</v>
      </c>
      <c r="F26" s="8">
        <f t="shared" si="8"/>
        <v>419.88</v>
      </c>
      <c r="G26" s="9">
        <f t="shared" si="4"/>
        <v>2939.16</v>
      </c>
      <c r="H26" s="38">
        <v>2397.1999999999998</v>
      </c>
      <c r="I26" s="10">
        <f>375-0.04</f>
        <v>374.96</v>
      </c>
      <c r="J26" s="10">
        <v>140</v>
      </c>
      <c r="K26" s="21">
        <v>587.84</v>
      </c>
      <c r="L26" s="12"/>
      <c r="M26" s="13">
        <f t="shared" si="6"/>
        <v>0</v>
      </c>
      <c r="N26" s="14">
        <f t="shared" si="0"/>
        <v>2397.1999999999998</v>
      </c>
      <c r="O26" s="36" t="s">
        <v>47</v>
      </c>
      <c r="P26" s="33">
        <f t="shared" si="1"/>
        <v>0</v>
      </c>
      <c r="Q26" s="33">
        <f t="shared" si="2"/>
        <v>0</v>
      </c>
    </row>
    <row r="27" spans="1:17" s="55" customFormat="1" x14ac:dyDescent="0.25">
      <c r="A27" s="5">
        <v>221</v>
      </c>
      <c r="B27" s="6" t="s">
        <v>38</v>
      </c>
      <c r="C27" s="7">
        <v>4000</v>
      </c>
      <c r="D27" s="7">
        <v>419.88</v>
      </c>
      <c r="E27" s="8">
        <f t="shared" si="3"/>
        <v>2519.2799999999997</v>
      </c>
      <c r="F27" s="8">
        <f t="shared" si="8"/>
        <v>419.88</v>
      </c>
      <c r="G27" s="9">
        <f t="shared" si="4"/>
        <v>2939.16</v>
      </c>
      <c r="H27" s="37">
        <v>3354.4</v>
      </c>
      <c r="I27" s="10">
        <v>375</v>
      </c>
      <c r="J27" s="10">
        <v>140</v>
      </c>
      <c r="K27" s="21"/>
      <c r="L27" s="39"/>
      <c r="M27" s="13">
        <f t="shared" si="6"/>
        <v>130.59999999999991</v>
      </c>
      <c r="N27" s="14">
        <f t="shared" si="0"/>
        <v>3485</v>
      </c>
      <c r="O27" s="29" t="s">
        <v>47</v>
      </c>
      <c r="P27" s="33">
        <f t="shared" si="1"/>
        <v>13.059999999999992</v>
      </c>
      <c r="Q27" s="33">
        <f t="shared" si="2"/>
        <v>14.104799999999992</v>
      </c>
    </row>
    <row r="28" spans="1:17" s="55" customFormat="1" x14ac:dyDescent="0.25">
      <c r="A28" s="5">
        <v>222</v>
      </c>
      <c r="B28" s="6" t="s">
        <v>39</v>
      </c>
      <c r="C28" s="7">
        <v>7000</v>
      </c>
      <c r="D28" s="7">
        <v>419.88</v>
      </c>
      <c r="E28" s="8">
        <f t="shared" si="3"/>
        <v>2519.2799999999997</v>
      </c>
      <c r="F28" s="8">
        <f t="shared" si="8"/>
        <v>419.88</v>
      </c>
      <c r="G28" s="9">
        <f t="shared" si="4"/>
        <v>2939.16</v>
      </c>
      <c r="H28" s="37">
        <v>3354.4</v>
      </c>
      <c r="I28" s="10">
        <v>375</v>
      </c>
      <c r="J28" s="10">
        <v>140</v>
      </c>
      <c r="K28" s="21"/>
      <c r="L28" s="19"/>
      <c r="M28" s="13">
        <f t="shared" si="6"/>
        <v>3130.6</v>
      </c>
      <c r="N28" s="14">
        <f t="shared" si="0"/>
        <v>6485</v>
      </c>
      <c r="O28" s="29" t="s">
        <v>47</v>
      </c>
      <c r="P28" s="33">
        <f t="shared" si="1"/>
        <v>313.06</v>
      </c>
      <c r="Q28" s="33">
        <f t="shared" si="2"/>
        <v>338.10480000000001</v>
      </c>
    </row>
    <row r="29" spans="1:17" s="55" customFormat="1" x14ac:dyDescent="0.25">
      <c r="A29" s="5">
        <v>226</v>
      </c>
      <c r="B29" s="6" t="s">
        <v>40</v>
      </c>
      <c r="C29" s="7">
        <v>7500</v>
      </c>
      <c r="D29" s="7">
        <v>419.88</v>
      </c>
      <c r="E29" s="8">
        <f t="shared" si="3"/>
        <v>2519.2799999999997</v>
      </c>
      <c r="F29" s="8">
        <f t="shared" si="8"/>
        <v>419.88</v>
      </c>
      <c r="G29" s="9">
        <f t="shared" si="4"/>
        <v>2939.16</v>
      </c>
      <c r="H29" s="37">
        <v>3354.4</v>
      </c>
      <c r="I29" s="10">
        <v>0</v>
      </c>
      <c r="J29" s="10">
        <v>175</v>
      </c>
      <c r="K29" s="21"/>
      <c r="L29" s="12"/>
      <c r="M29" s="13">
        <f t="shared" si="6"/>
        <v>3970.6000000000004</v>
      </c>
      <c r="N29" s="14">
        <f t="shared" si="0"/>
        <v>7325</v>
      </c>
      <c r="O29" s="29" t="s">
        <v>47</v>
      </c>
      <c r="P29" s="33">
        <f t="shared" si="1"/>
        <v>397.06000000000006</v>
      </c>
      <c r="Q29" s="33">
        <f t="shared" si="2"/>
        <v>428.8248000000001</v>
      </c>
    </row>
    <row r="30" spans="1:17" s="55" customFormat="1" x14ac:dyDescent="0.25">
      <c r="A30" s="5">
        <v>227</v>
      </c>
      <c r="B30" s="6" t="s">
        <v>41</v>
      </c>
      <c r="C30" s="7">
        <v>6000</v>
      </c>
      <c r="D30" s="7">
        <v>419.88</v>
      </c>
      <c r="E30" s="8">
        <f t="shared" si="3"/>
        <v>2519.2799999999997</v>
      </c>
      <c r="F30" s="8">
        <f t="shared" si="8"/>
        <v>419.88</v>
      </c>
      <c r="G30" s="9">
        <f t="shared" si="4"/>
        <v>2939.16</v>
      </c>
      <c r="H30" s="37">
        <v>3354.4</v>
      </c>
      <c r="I30" s="10">
        <v>150</v>
      </c>
      <c r="J30" s="10">
        <v>140</v>
      </c>
      <c r="K30" s="21"/>
      <c r="L30" s="12"/>
      <c r="M30" s="13">
        <f t="shared" si="6"/>
        <v>2355.6</v>
      </c>
      <c r="N30" s="14">
        <f t="shared" si="0"/>
        <v>5710</v>
      </c>
      <c r="O30" s="29" t="s">
        <v>47</v>
      </c>
      <c r="P30" s="33">
        <f t="shared" si="1"/>
        <v>235.56</v>
      </c>
      <c r="Q30" s="33">
        <f t="shared" si="2"/>
        <v>254.40480000000002</v>
      </c>
    </row>
    <row r="31" spans="1:17" s="55" customFormat="1" x14ac:dyDescent="0.25">
      <c r="A31" s="5">
        <v>233</v>
      </c>
      <c r="B31" s="6" t="s">
        <v>42</v>
      </c>
      <c r="C31" s="7">
        <v>6250</v>
      </c>
      <c r="D31" s="7">
        <v>419.88</v>
      </c>
      <c r="E31" s="8">
        <f t="shared" si="3"/>
        <v>2519.2799999999997</v>
      </c>
      <c r="F31" s="8">
        <f t="shared" si="8"/>
        <v>419.88</v>
      </c>
      <c r="G31" s="9">
        <f t="shared" si="4"/>
        <v>2939.16</v>
      </c>
      <c r="H31" s="37">
        <v>3354.2</v>
      </c>
      <c r="I31" s="10">
        <v>225</v>
      </c>
      <c r="J31" s="10">
        <v>70</v>
      </c>
      <c r="K31" s="21"/>
      <c r="L31" s="19"/>
      <c r="M31" s="13">
        <f t="shared" si="6"/>
        <v>2600.8000000000002</v>
      </c>
      <c r="N31" s="14">
        <f t="shared" si="0"/>
        <v>5955</v>
      </c>
      <c r="O31" s="31" t="s">
        <v>47</v>
      </c>
      <c r="P31" s="33">
        <f t="shared" si="1"/>
        <v>260.08000000000004</v>
      </c>
      <c r="Q31" s="33">
        <f t="shared" si="2"/>
        <v>280.88640000000004</v>
      </c>
    </row>
    <row r="32" spans="1:17" s="55" customFormat="1" x14ac:dyDescent="0.25">
      <c r="A32" s="5">
        <v>237</v>
      </c>
      <c r="B32" s="6" t="s">
        <v>43</v>
      </c>
      <c r="C32" s="7">
        <v>5000</v>
      </c>
      <c r="D32" s="7">
        <v>419.88</v>
      </c>
      <c r="E32" s="8">
        <f t="shared" si="3"/>
        <v>2519.2799999999997</v>
      </c>
      <c r="F32" s="8">
        <f t="shared" si="8"/>
        <v>419.88</v>
      </c>
      <c r="G32" s="9">
        <f t="shared" si="4"/>
        <v>2939.16</v>
      </c>
      <c r="H32" s="37">
        <v>3354.4</v>
      </c>
      <c r="I32" s="10">
        <v>300</v>
      </c>
      <c r="J32" s="10">
        <v>140</v>
      </c>
      <c r="K32" s="21"/>
      <c r="L32" s="19"/>
      <c r="M32" s="13">
        <f>C32-H32-I32+L32-K32-J32</f>
        <v>1205.5999999999999</v>
      </c>
      <c r="N32" s="14">
        <f>H32+M32</f>
        <v>4560</v>
      </c>
      <c r="O32" s="29" t="s">
        <v>47</v>
      </c>
      <c r="P32" s="33">
        <f>+M32*0.1</f>
        <v>120.56</v>
      </c>
      <c r="Q32" s="33">
        <f t="shared" si="2"/>
        <v>130.20480000000001</v>
      </c>
    </row>
    <row r="33" spans="1:17" s="55" customFormat="1" x14ac:dyDescent="0.25">
      <c r="A33" s="5">
        <v>244</v>
      </c>
      <c r="B33" s="6" t="s">
        <v>44</v>
      </c>
      <c r="C33" s="7">
        <v>5000</v>
      </c>
      <c r="D33" s="7">
        <v>419.88</v>
      </c>
      <c r="E33" s="8">
        <f t="shared" si="3"/>
        <v>2519.2799999999997</v>
      </c>
      <c r="F33" s="8">
        <f t="shared" si="8"/>
        <v>419.88</v>
      </c>
      <c r="G33" s="9">
        <f t="shared" si="4"/>
        <v>2939.16</v>
      </c>
      <c r="H33" s="37">
        <v>3354.2</v>
      </c>
      <c r="I33" s="10">
        <v>300</v>
      </c>
      <c r="J33" s="10">
        <v>0</v>
      </c>
      <c r="K33" s="21"/>
      <c r="L33" s="12"/>
      <c r="M33" s="13">
        <f>C33-H33-I33+L33-K33-J33</f>
        <v>1345.8000000000002</v>
      </c>
      <c r="N33" s="14">
        <f t="shared" si="0"/>
        <v>4700</v>
      </c>
      <c r="O33" s="29" t="s">
        <v>47</v>
      </c>
      <c r="P33" s="33">
        <f t="shared" si="1"/>
        <v>134.58000000000001</v>
      </c>
      <c r="Q33" s="33">
        <f t="shared" si="2"/>
        <v>145.34640000000002</v>
      </c>
    </row>
    <row r="34" spans="1:17" s="55" customFormat="1" x14ac:dyDescent="0.25">
      <c r="A34" s="5">
        <v>245</v>
      </c>
      <c r="B34" s="6" t="s">
        <v>45</v>
      </c>
      <c r="C34" s="7">
        <v>5000</v>
      </c>
      <c r="D34" s="7">
        <v>419.88</v>
      </c>
      <c r="E34" s="8">
        <f t="shared" si="3"/>
        <v>2519.2799999999997</v>
      </c>
      <c r="F34" s="8">
        <f t="shared" si="8"/>
        <v>419.88</v>
      </c>
      <c r="G34" s="9">
        <f t="shared" si="4"/>
        <v>2939.16</v>
      </c>
      <c r="H34" s="37">
        <v>3354.2</v>
      </c>
      <c r="I34" s="10">
        <v>75</v>
      </c>
      <c r="J34" s="10">
        <v>0</v>
      </c>
      <c r="K34" s="21"/>
      <c r="L34" s="19"/>
      <c r="M34" s="13">
        <f t="shared" si="6"/>
        <v>1570.8000000000002</v>
      </c>
      <c r="N34" s="14">
        <f t="shared" si="0"/>
        <v>4925</v>
      </c>
      <c r="O34" s="34">
        <v>2</v>
      </c>
      <c r="P34" s="33">
        <f t="shared" si="1"/>
        <v>157.08000000000004</v>
      </c>
      <c r="Q34" s="33">
        <f t="shared" si="2"/>
        <v>169.64640000000006</v>
      </c>
    </row>
    <row r="35" spans="1:17" s="55" customFormat="1" x14ac:dyDescent="0.25">
      <c r="A35" s="5">
        <v>252</v>
      </c>
      <c r="B35" s="6" t="s">
        <v>53</v>
      </c>
      <c r="C35" s="7">
        <v>4000</v>
      </c>
      <c r="D35" s="7">
        <v>419.88</v>
      </c>
      <c r="E35" s="8">
        <f t="shared" si="3"/>
        <v>2519.2799999999997</v>
      </c>
      <c r="F35" s="8">
        <f t="shared" si="8"/>
        <v>419.88</v>
      </c>
      <c r="G35" s="9">
        <f t="shared" si="4"/>
        <v>2939.16</v>
      </c>
      <c r="H35" s="37">
        <v>3354.4</v>
      </c>
      <c r="I35" s="10">
        <v>375</v>
      </c>
      <c r="J35" s="10">
        <v>140</v>
      </c>
      <c r="K35" s="21"/>
      <c r="L35" s="19"/>
      <c r="M35" s="13">
        <f t="shared" si="6"/>
        <v>130.59999999999991</v>
      </c>
      <c r="N35" s="14">
        <f t="shared" si="0"/>
        <v>3485</v>
      </c>
      <c r="O35" s="5" t="s">
        <v>47</v>
      </c>
      <c r="P35" s="33">
        <f t="shared" si="1"/>
        <v>13.059999999999992</v>
      </c>
      <c r="Q35" s="33">
        <f t="shared" si="2"/>
        <v>14.104799999999992</v>
      </c>
    </row>
    <row r="36" spans="1:17" s="55" customFormat="1" x14ac:dyDescent="0.25">
      <c r="A36" s="5">
        <v>260</v>
      </c>
      <c r="B36" s="6" t="s">
        <v>54</v>
      </c>
      <c r="C36" s="7">
        <v>5000</v>
      </c>
      <c r="D36" s="7">
        <v>419.88</v>
      </c>
      <c r="E36" s="8">
        <f t="shared" si="3"/>
        <v>2519.2799999999997</v>
      </c>
      <c r="F36" s="8">
        <f t="shared" si="8"/>
        <v>419.88</v>
      </c>
      <c r="G36" s="9">
        <f t="shared" si="4"/>
        <v>2939.16</v>
      </c>
      <c r="H36" s="37">
        <v>3432</v>
      </c>
      <c r="I36" s="10">
        <v>0</v>
      </c>
      <c r="J36" s="10">
        <v>0</v>
      </c>
      <c r="K36" s="21"/>
      <c r="L36" s="19">
        <v>357.14</v>
      </c>
      <c r="M36" s="13">
        <f t="shared" si="6"/>
        <v>1925.1399999999999</v>
      </c>
      <c r="N36" s="14">
        <f t="shared" si="0"/>
        <v>5357.1399999999994</v>
      </c>
      <c r="O36" s="5" t="s">
        <v>47</v>
      </c>
      <c r="P36" s="33">
        <f t="shared" si="1"/>
        <v>192.51400000000001</v>
      </c>
      <c r="Q36" s="33">
        <f t="shared" si="2"/>
        <v>207.91512000000003</v>
      </c>
    </row>
    <row r="37" spans="1:17" s="55" customFormat="1" x14ac:dyDescent="0.25">
      <c r="A37" s="5">
        <v>261</v>
      </c>
      <c r="B37" s="6" t="s">
        <v>55</v>
      </c>
      <c r="C37" s="7">
        <v>4000</v>
      </c>
      <c r="D37" s="7">
        <v>419.88</v>
      </c>
      <c r="E37" s="8">
        <f t="shared" si="3"/>
        <v>2519.2799999999997</v>
      </c>
      <c r="F37" s="8">
        <f t="shared" si="8"/>
        <v>419.88</v>
      </c>
      <c r="G37" s="9">
        <f t="shared" si="4"/>
        <v>2939.16</v>
      </c>
      <c r="H37" s="37">
        <v>2339.8000000000002</v>
      </c>
      <c r="I37" s="10">
        <v>300</v>
      </c>
      <c r="J37" s="10">
        <v>105</v>
      </c>
      <c r="K37" s="16">
        <v>944.31</v>
      </c>
      <c r="L37" s="19"/>
      <c r="M37" s="13">
        <f t="shared" si="6"/>
        <v>310.88999999999987</v>
      </c>
      <c r="N37" s="14">
        <f t="shared" si="0"/>
        <v>2650.69</v>
      </c>
      <c r="O37" s="5" t="s">
        <v>47</v>
      </c>
      <c r="P37" s="33">
        <f t="shared" si="1"/>
        <v>31.088999999999988</v>
      </c>
      <c r="Q37" s="33">
        <f t="shared" si="2"/>
        <v>33.576119999999989</v>
      </c>
    </row>
    <row r="38" spans="1:17" s="55" customFormat="1" x14ac:dyDescent="0.25">
      <c r="A38" s="5">
        <v>267</v>
      </c>
      <c r="B38" s="6" t="s">
        <v>56</v>
      </c>
      <c r="C38" s="7">
        <v>5000</v>
      </c>
      <c r="D38" s="7">
        <v>419.88</v>
      </c>
      <c r="E38" s="8">
        <f t="shared" si="3"/>
        <v>2519.2799999999997</v>
      </c>
      <c r="F38" s="8">
        <f>$D$4</f>
        <v>419.88</v>
      </c>
      <c r="G38" s="9">
        <f t="shared" si="4"/>
        <v>2939.16</v>
      </c>
      <c r="H38" s="37">
        <v>2833.4</v>
      </c>
      <c r="I38" s="10">
        <v>225</v>
      </c>
      <c r="J38" s="10">
        <v>105</v>
      </c>
      <c r="K38" s="16">
        <v>450.66</v>
      </c>
      <c r="L38" s="19"/>
      <c r="M38" s="13">
        <f t="shared" si="6"/>
        <v>1385.9399999999998</v>
      </c>
      <c r="N38" s="14">
        <f t="shared" si="0"/>
        <v>4219.34</v>
      </c>
      <c r="O38" s="5" t="s">
        <v>47</v>
      </c>
      <c r="P38" s="33">
        <f t="shared" si="1"/>
        <v>138.59399999999999</v>
      </c>
      <c r="Q38" s="33">
        <f t="shared" si="2"/>
        <v>149.68152000000001</v>
      </c>
    </row>
    <row r="39" spans="1:17" s="55" customFormat="1" x14ac:dyDescent="0.25">
      <c r="A39" s="5">
        <v>268</v>
      </c>
      <c r="B39" s="6" t="s">
        <v>57</v>
      </c>
      <c r="C39" s="7">
        <v>4000</v>
      </c>
      <c r="D39" s="7">
        <v>419.88</v>
      </c>
      <c r="E39" s="8">
        <f t="shared" si="3"/>
        <v>2519.2799999999997</v>
      </c>
      <c r="F39" s="8">
        <f t="shared" ref="F39:F56" si="9">$D$4</f>
        <v>419.88</v>
      </c>
      <c r="G39" s="9">
        <f t="shared" si="4"/>
        <v>2939.16</v>
      </c>
      <c r="H39" s="37">
        <v>3354.2</v>
      </c>
      <c r="I39" s="10">
        <v>150</v>
      </c>
      <c r="J39" s="10">
        <v>0</v>
      </c>
      <c r="K39" s="11"/>
      <c r="L39" s="19"/>
      <c r="M39" s="13">
        <f t="shared" si="6"/>
        <v>495.80000000000018</v>
      </c>
      <c r="N39" s="14">
        <f t="shared" si="0"/>
        <v>3850</v>
      </c>
      <c r="O39" s="5" t="s">
        <v>47</v>
      </c>
      <c r="P39" s="33">
        <f t="shared" si="1"/>
        <v>49.58000000000002</v>
      </c>
      <c r="Q39" s="33">
        <f t="shared" si="2"/>
        <v>53.546400000000027</v>
      </c>
    </row>
    <row r="40" spans="1:17" s="55" customFormat="1" x14ac:dyDescent="0.25">
      <c r="A40" s="5">
        <v>269</v>
      </c>
      <c r="B40" s="6" t="s">
        <v>58</v>
      </c>
      <c r="C40" s="7">
        <v>5000</v>
      </c>
      <c r="D40" s="7">
        <v>419.88</v>
      </c>
      <c r="E40" s="8">
        <f t="shared" si="3"/>
        <v>2519.2799999999997</v>
      </c>
      <c r="F40" s="8">
        <f t="shared" si="9"/>
        <v>419.88</v>
      </c>
      <c r="G40" s="9">
        <f t="shared" si="4"/>
        <v>2939.16</v>
      </c>
      <c r="H40" s="37">
        <v>3354.4</v>
      </c>
      <c r="I40" s="10">
        <v>300</v>
      </c>
      <c r="J40" s="10">
        <v>70</v>
      </c>
      <c r="K40" s="21"/>
      <c r="L40" s="19"/>
      <c r="M40" s="13">
        <f t="shared" si="6"/>
        <v>1275.5999999999999</v>
      </c>
      <c r="N40" s="14">
        <f t="shared" si="0"/>
        <v>4630</v>
      </c>
      <c r="O40" s="5" t="s">
        <v>47</v>
      </c>
      <c r="P40" s="33">
        <f t="shared" si="1"/>
        <v>127.56</v>
      </c>
      <c r="Q40" s="33">
        <f t="shared" si="2"/>
        <v>137.76480000000001</v>
      </c>
    </row>
    <row r="41" spans="1:17" s="55" customFormat="1" x14ac:dyDescent="0.25">
      <c r="A41" s="5">
        <v>271</v>
      </c>
      <c r="B41" s="6" t="s">
        <v>59</v>
      </c>
      <c r="C41" s="7">
        <v>3500</v>
      </c>
      <c r="D41" s="7">
        <v>419.88</v>
      </c>
      <c r="E41" s="8">
        <f t="shared" si="3"/>
        <v>2519.2799999999997</v>
      </c>
      <c r="F41" s="8">
        <f t="shared" si="9"/>
        <v>419.88</v>
      </c>
      <c r="G41" s="9">
        <f t="shared" si="4"/>
        <v>2939.16</v>
      </c>
      <c r="H41" s="37">
        <v>3205</v>
      </c>
      <c r="I41" s="10">
        <v>225</v>
      </c>
      <c r="J41" s="10">
        <v>70</v>
      </c>
      <c r="K41" s="21"/>
      <c r="L41" s="19"/>
      <c r="M41" s="13">
        <f t="shared" si="6"/>
        <v>0</v>
      </c>
      <c r="N41" s="14">
        <f t="shared" si="0"/>
        <v>3205</v>
      </c>
      <c r="O41" s="5" t="s">
        <v>47</v>
      </c>
      <c r="P41" s="33">
        <f t="shared" si="1"/>
        <v>0</v>
      </c>
      <c r="Q41" s="33">
        <f t="shared" si="2"/>
        <v>0</v>
      </c>
    </row>
    <row r="42" spans="1:17" s="55" customFormat="1" x14ac:dyDescent="0.25">
      <c r="A42" s="5">
        <v>275</v>
      </c>
      <c r="B42" s="6" t="s">
        <v>60</v>
      </c>
      <c r="C42" s="7">
        <v>5000</v>
      </c>
      <c r="D42" s="7">
        <v>419.88</v>
      </c>
      <c r="E42" s="8">
        <f t="shared" si="3"/>
        <v>2519.2799999999997</v>
      </c>
      <c r="F42" s="8">
        <f t="shared" si="9"/>
        <v>419.88</v>
      </c>
      <c r="G42" s="9">
        <f t="shared" si="4"/>
        <v>2939.16</v>
      </c>
      <c r="H42" s="37">
        <v>3120.4</v>
      </c>
      <c r="I42" s="10">
        <v>0</v>
      </c>
      <c r="J42" s="10">
        <v>0</v>
      </c>
      <c r="K42" s="21">
        <v>293.92</v>
      </c>
      <c r="L42" s="19"/>
      <c r="M42" s="13">
        <f t="shared" si="6"/>
        <v>1585.6799999999998</v>
      </c>
      <c r="N42" s="14">
        <f t="shared" si="0"/>
        <v>4706.08</v>
      </c>
      <c r="O42" s="5" t="s">
        <v>47</v>
      </c>
      <c r="P42" s="33">
        <f t="shared" si="1"/>
        <v>158.56799999999998</v>
      </c>
      <c r="Q42" s="33">
        <f t="shared" si="2"/>
        <v>171.25343999999998</v>
      </c>
    </row>
    <row r="43" spans="1:17" s="55" customFormat="1" x14ac:dyDescent="0.25">
      <c r="A43" s="5">
        <v>276</v>
      </c>
      <c r="B43" s="6" t="s">
        <v>61</v>
      </c>
      <c r="C43" s="7">
        <v>5000</v>
      </c>
      <c r="D43" s="7">
        <v>419.88</v>
      </c>
      <c r="E43" s="8">
        <f t="shared" si="3"/>
        <v>2519.2799999999997</v>
      </c>
      <c r="F43" s="8">
        <f t="shared" si="9"/>
        <v>419.88</v>
      </c>
      <c r="G43" s="9">
        <f t="shared" si="4"/>
        <v>2939.16</v>
      </c>
      <c r="H43" s="37">
        <v>3354.4</v>
      </c>
      <c r="I43" s="10">
        <v>375</v>
      </c>
      <c r="J43" s="10">
        <v>175</v>
      </c>
      <c r="K43" s="11"/>
      <c r="L43" s="19"/>
      <c r="M43" s="13">
        <f t="shared" si="6"/>
        <v>1095.5999999999999</v>
      </c>
      <c r="N43" s="14">
        <f t="shared" si="0"/>
        <v>4450</v>
      </c>
      <c r="O43" s="5" t="s">
        <v>47</v>
      </c>
      <c r="P43" s="33">
        <f t="shared" si="1"/>
        <v>109.56</v>
      </c>
      <c r="Q43" s="33">
        <f t="shared" si="2"/>
        <v>118.32480000000001</v>
      </c>
    </row>
    <row r="44" spans="1:17" s="55" customFormat="1" x14ac:dyDescent="0.25">
      <c r="A44" s="5">
        <v>278</v>
      </c>
      <c r="B44" s="6" t="s">
        <v>62</v>
      </c>
      <c r="C44" s="7">
        <v>5000</v>
      </c>
      <c r="D44" s="7">
        <v>419.88</v>
      </c>
      <c r="E44" s="8">
        <f t="shared" si="3"/>
        <v>2519.2799999999997</v>
      </c>
      <c r="F44" s="8">
        <f t="shared" si="9"/>
        <v>419.88</v>
      </c>
      <c r="G44" s="9">
        <f t="shared" si="4"/>
        <v>2939.16</v>
      </c>
      <c r="H44" s="37">
        <v>3120.4</v>
      </c>
      <c r="I44" s="10">
        <v>75</v>
      </c>
      <c r="J44" s="10">
        <v>35</v>
      </c>
      <c r="K44" s="21">
        <v>293.92</v>
      </c>
      <c r="L44" s="19"/>
      <c r="M44" s="13">
        <f t="shared" si="6"/>
        <v>1475.6799999999998</v>
      </c>
      <c r="N44" s="14">
        <f t="shared" si="0"/>
        <v>4596.08</v>
      </c>
      <c r="O44" s="5" t="s">
        <v>47</v>
      </c>
      <c r="P44" s="33">
        <f t="shared" si="1"/>
        <v>147.56799999999998</v>
      </c>
      <c r="Q44" s="33">
        <f t="shared" si="2"/>
        <v>159.37343999999999</v>
      </c>
    </row>
    <row r="45" spans="1:17" s="55" customFormat="1" x14ac:dyDescent="0.25">
      <c r="A45" s="5">
        <v>279</v>
      </c>
      <c r="B45" s="6" t="s">
        <v>63</v>
      </c>
      <c r="C45" s="7">
        <v>3500</v>
      </c>
      <c r="D45" s="7">
        <v>419.88</v>
      </c>
      <c r="E45" s="8">
        <f t="shared" si="3"/>
        <v>2519.2799999999997</v>
      </c>
      <c r="F45" s="8">
        <f t="shared" si="9"/>
        <v>419.88</v>
      </c>
      <c r="G45" s="9">
        <f t="shared" si="4"/>
        <v>2939.16</v>
      </c>
      <c r="H45" s="37">
        <v>3205</v>
      </c>
      <c r="I45" s="10">
        <v>225</v>
      </c>
      <c r="J45" s="10">
        <v>70</v>
      </c>
      <c r="K45" s="11"/>
      <c r="L45" s="19"/>
      <c r="M45" s="13">
        <f t="shared" si="6"/>
        <v>0</v>
      </c>
      <c r="N45" s="14">
        <f t="shared" si="0"/>
        <v>3205</v>
      </c>
      <c r="O45" s="5" t="s">
        <v>47</v>
      </c>
      <c r="P45" s="33">
        <f t="shared" si="1"/>
        <v>0</v>
      </c>
      <c r="Q45" s="33">
        <f t="shared" si="2"/>
        <v>0</v>
      </c>
    </row>
    <row r="46" spans="1:17" s="55" customFormat="1" x14ac:dyDescent="0.25">
      <c r="A46" s="5">
        <v>280</v>
      </c>
      <c r="B46" s="6" t="s">
        <v>64</v>
      </c>
      <c r="C46" s="7">
        <v>5000</v>
      </c>
      <c r="D46" s="7">
        <v>419.88</v>
      </c>
      <c r="E46" s="8">
        <f t="shared" si="3"/>
        <v>2519.2799999999997</v>
      </c>
      <c r="F46" s="8">
        <f t="shared" si="9"/>
        <v>419.88</v>
      </c>
      <c r="G46" s="9">
        <f t="shared" si="4"/>
        <v>2939.16</v>
      </c>
      <c r="H46" s="37">
        <v>3354.4</v>
      </c>
      <c r="I46" s="10">
        <v>0</v>
      </c>
      <c r="J46" s="10">
        <v>0</v>
      </c>
      <c r="K46" s="11"/>
      <c r="L46" s="19"/>
      <c r="M46" s="13">
        <f t="shared" si="6"/>
        <v>1645.6</v>
      </c>
      <c r="N46" s="14">
        <f t="shared" si="0"/>
        <v>5000</v>
      </c>
      <c r="O46" s="5" t="s">
        <v>47</v>
      </c>
      <c r="P46" s="33">
        <f t="shared" si="1"/>
        <v>164.56</v>
      </c>
      <c r="Q46" s="33">
        <f t="shared" si="2"/>
        <v>177.72480000000002</v>
      </c>
    </row>
    <row r="47" spans="1:17" s="55" customFormat="1" x14ac:dyDescent="0.25">
      <c r="A47" s="5">
        <v>281</v>
      </c>
      <c r="B47" s="6" t="s">
        <v>65</v>
      </c>
      <c r="C47" s="7">
        <v>8750</v>
      </c>
      <c r="D47" s="7">
        <v>419.88</v>
      </c>
      <c r="E47" s="8">
        <f t="shared" si="3"/>
        <v>2519.2799999999997</v>
      </c>
      <c r="F47" s="8">
        <f t="shared" si="9"/>
        <v>419.88</v>
      </c>
      <c r="G47" s="9">
        <f t="shared" si="4"/>
        <v>2939.16</v>
      </c>
      <c r="H47" s="37">
        <v>3354.4</v>
      </c>
      <c r="I47" s="10">
        <v>0</v>
      </c>
      <c r="J47" s="10">
        <v>0</v>
      </c>
      <c r="K47" s="11"/>
      <c r="L47" s="19"/>
      <c r="M47" s="13">
        <f t="shared" si="6"/>
        <v>5395.6</v>
      </c>
      <c r="N47" s="14">
        <f t="shared" si="0"/>
        <v>8750</v>
      </c>
      <c r="O47" s="5" t="s">
        <v>47</v>
      </c>
      <c r="P47" s="33">
        <f t="shared" si="1"/>
        <v>539.56000000000006</v>
      </c>
      <c r="Q47" s="33">
        <f t="shared" si="2"/>
        <v>582.72480000000007</v>
      </c>
    </row>
    <row r="48" spans="1:17" x14ac:dyDescent="0.25">
      <c r="A48" s="5">
        <v>283</v>
      </c>
      <c r="B48" s="6" t="s">
        <v>66</v>
      </c>
      <c r="C48" s="7">
        <v>5000</v>
      </c>
      <c r="D48" s="7">
        <v>419.88</v>
      </c>
      <c r="E48" s="8">
        <f t="shared" si="3"/>
        <v>2519.2799999999997</v>
      </c>
      <c r="F48" s="8">
        <f t="shared" si="9"/>
        <v>419.88</v>
      </c>
      <c r="G48" s="9">
        <f t="shared" si="4"/>
        <v>2939.16</v>
      </c>
      <c r="H48" s="37">
        <v>2879</v>
      </c>
      <c r="I48" s="10">
        <v>0</v>
      </c>
      <c r="J48" s="10">
        <v>70</v>
      </c>
      <c r="K48" s="11">
        <v>835.71</v>
      </c>
      <c r="L48" s="19"/>
      <c r="M48" s="13">
        <f t="shared" si="6"/>
        <v>1215.29</v>
      </c>
      <c r="N48" s="14">
        <f t="shared" si="0"/>
        <v>4094.29</v>
      </c>
      <c r="O48" s="5" t="s">
        <v>47</v>
      </c>
      <c r="P48" s="33">
        <f t="shared" si="1"/>
        <v>121.529</v>
      </c>
      <c r="Q48" s="33">
        <f t="shared" si="2"/>
        <v>131.25131999999999</v>
      </c>
    </row>
    <row r="49" spans="1:18" x14ac:dyDescent="0.25">
      <c r="A49" s="5">
        <v>284</v>
      </c>
      <c r="B49" s="6" t="s">
        <v>67</v>
      </c>
      <c r="C49" s="7">
        <v>4000</v>
      </c>
      <c r="D49" s="7">
        <v>419.88</v>
      </c>
      <c r="E49" s="8">
        <f t="shared" si="3"/>
        <v>2519.2799999999997</v>
      </c>
      <c r="F49" s="8">
        <f t="shared" si="9"/>
        <v>419.88</v>
      </c>
      <c r="G49" s="9">
        <f t="shared" si="4"/>
        <v>2939.16</v>
      </c>
      <c r="H49" s="37">
        <v>3354.2</v>
      </c>
      <c r="I49" s="10">
        <v>0</v>
      </c>
      <c r="J49" s="10">
        <v>0</v>
      </c>
      <c r="K49" s="11"/>
      <c r="L49" s="19"/>
      <c r="M49" s="13">
        <f t="shared" si="6"/>
        <v>645.80000000000018</v>
      </c>
      <c r="N49" s="14">
        <f t="shared" si="0"/>
        <v>4000</v>
      </c>
      <c r="O49" s="5" t="s">
        <v>47</v>
      </c>
      <c r="P49" s="33">
        <f t="shared" si="1"/>
        <v>64.580000000000027</v>
      </c>
      <c r="Q49" s="33">
        <f t="shared" si="2"/>
        <v>69.746400000000037</v>
      </c>
    </row>
    <row r="50" spans="1:18" x14ac:dyDescent="0.25">
      <c r="A50" s="5">
        <v>285</v>
      </c>
      <c r="B50" s="6" t="s">
        <v>68</v>
      </c>
      <c r="C50" s="7">
        <v>4000</v>
      </c>
      <c r="D50" s="7">
        <v>419.88</v>
      </c>
      <c r="E50" s="8">
        <f t="shared" si="3"/>
        <v>2519.2799999999997</v>
      </c>
      <c r="F50" s="8">
        <f t="shared" si="9"/>
        <v>419.88</v>
      </c>
      <c r="G50" s="9">
        <f t="shared" si="4"/>
        <v>2939.16</v>
      </c>
      <c r="H50" s="37">
        <v>3354.2</v>
      </c>
      <c r="I50" s="10">
        <v>0</v>
      </c>
      <c r="J50" s="10">
        <v>0</v>
      </c>
      <c r="K50" s="11"/>
      <c r="L50" s="19"/>
      <c r="M50" s="13">
        <f t="shared" si="6"/>
        <v>645.80000000000018</v>
      </c>
      <c r="N50" s="14">
        <f t="shared" si="0"/>
        <v>4000</v>
      </c>
      <c r="O50" s="5" t="s">
        <v>47</v>
      </c>
      <c r="P50" s="33">
        <f t="shared" si="1"/>
        <v>64.580000000000027</v>
      </c>
      <c r="Q50" s="33">
        <f t="shared" si="2"/>
        <v>69.746400000000037</v>
      </c>
    </row>
    <row r="51" spans="1:18" x14ac:dyDescent="0.25">
      <c r="A51" s="5">
        <v>286</v>
      </c>
      <c r="B51" s="6" t="s">
        <v>69</v>
      </c>
      <c r="C51" s="7">
        <v>4000</v>
      </c>
      <c r="D51" s="7">
        <v>419.88</v>
      </c>
      <c r="E51" s="8">
        <f t="shared" si="3"/>
        <v>2519.2799999999997</v>
      </c>
      <c r="F51" s="8">
        <f t="shared" si="9"/>
        <v>419.88</v>
      </c>
      <c r="G51" s="9">
        <f t="shared" si="4"/>
        <v>2939.16</v>
      </c>
      <c r="H51" s="37">
        <v>3354.2</v>
      </c>
      <c r="I51" s="10">
        <v>375</v>
      </c>
      <c r="J51" s="10">
        <v>0</v>
      </c>
      <c r="K51" s="11"/>
      <c r="L51" s="19"/>
      <c r="M51" s="13">
        <f t="shared" si="6"/>
        <v>270.80000000000018</v>
      </c>
      <c r="N51" s="14">
        <f t="shared" si="0"/>
        <v>3625</v>
      </c>
      <c r="O51" s="5" t="s">
        <v>47</v>
      </c>
      <c r="P51" s="33">
        <f t="shared" si="1"/>
        <v>27.08000000000002</v>
      </c>
      <c r="Q51" s="33">
        <f t="shared" si="2"/>
        <v>29.246400000000023</v>
      </c>
    </row>
    <row r="52" spans="1:18" x14ac:dyDescent="0.25">
      <c r="A52" s="5">
        <v>287</v>
      </c>
      <c r="B52" s="6" t="s">
        <v>72</v>
      </c>
      <c r="C52" s="7">
        <v>5000</v>
      </c>
      <c r="D52" s="7">
        <v>419.88</v>
      </c>
      <c r="E52" s="8">
        <f t="shared" si="3"/>
        <v>2519.2799999999997</v>
      </c>
      <c r="F52" s="8">
        <f t="shared" si="9"/>
        <v>419.88</v>
      </c>
      <c r="G52" s="9">
        <f t="shared" si="4"/>
        <v>2939.16</v>
      </c>
      <c r="H52" s="37">
        <v>3354.4</v>
      </c>
      <c r="I52" s="10">
        <v>300</v>
      </c>
      <c r="J52" s="10">
        <v>175</v>
      </c>
      <c r="K52" s="11"/>
      <c r="L52" s="19"/>
      <c r="M52" s="13">
        <f t="shared" si="6"/>
        <v>1170.5999999999999</v>
      </c>
      <c r="N52" s="14">
        <f t="shared" si="0"/>
        <v>4525</v>
      </c>
      <c r="O52" s="5" t="s">
        <v>47</v>
      </c>
      <c r="P52" s="33">
        <f t="shared" si="1"/>
        <v>117.06</v>
      </c>
      <c r="Q52" s="33">
        <f t="shared" si="2"/>
        <v>126.4248</v>
      </c>
    </row>
    <row r="53" spans="1:18" x14ac:dyDescent="0.25">
      <c r="A53" s="5">
        <v>288</v>
      </c>
      <c r="B53" s="6" t="s">
        <v>73</v>
      </c>
      <c r="C53" s="7">
        <v>3500</v>
      </c>
      <c r="D53" s="7">
        <v>419.88</v>
      </c>
      <c r="E53" s="8">
        <f t="shared" si="3"/>
        <v>2519.2799999999997</v>
      </c>
      <c r="F53" s="8">
        <f t="shared" si="9"/>
        <v>419.88</v>
      </c>
      <c r="G53" s="9">
        <f t="shared" si="4"/>
        <v>2939.16</v>
      </c>
      <c r="H53" s="37">
        <v>3354.4</v>
      </c>
      <c r="I53" s="10">
        <v>0</v>
      </c>
      <c r="J53" s="10">
        <v>0</v>
      </c>
      <c r="K53" s="11"/>
      <c r="L53" s="19"/>
      <c r="M53" s="13">
        <f t="shared" si="6"/>
        <v>145.59999999999991</v>
      </c>
      <c r="N53" s="14">
        <f t="shared" si="0"/>
        <v>3500</v>
      </c>
      <c r="O53" s="5" t="s">
        <v>47</v>
      </c>
      <c r="P53" s="33">
        <f t="shared" si="1"/>
        <v>14.559999999999992</v>
      </c>
      <c r="Q53" s="33">
        <f t="shared" si="2"/>
        <v>15.724799999999991</v>
      </c>
    </row>
    <row r="54" spans="1:18" x14ac:dyDescent="0.25">
      <c r="A54" s="5">
        <v>289</v>
      </c>
      <c r="B54" s="6" t="s">
        <v>74</v>
      </c>
      <c r="C54" s="7">
        <v>3500</v>
      </c>
      <c r="D54" s="7">
        <v>419.88</v>
      </c>
      <c r="E54" s="8">
        <f t="shared" si="3"/>
        <v>2519.2799999999997</v>
      </c>
      <c r="F54" s="8">
        <f t="shared" si="9"/>
        <v>419.88</v>
      </c>
      <c r="G54" s="9">
        <f t="shared" si="4"/>
        <v>2939.16</v>
      </c>
      <c r="H54" s="37">
        <v>3354.4</v>
      </c>
      <c r="I54" s="10">
        <v>0</v>
      </c>
      <c r="J54" s="10">
        <v>0</v>
      </c>
      <c r="K54" s="11"/>
      <c r="L54" s="19"/>
      <c r="M54" s="13">
        <f t="shared" si="6"/>
        <v>145.59999999999991</v>
      </c>
      <c r="N54" s="14">
        <f t="shared" si="0"/>
        <v>3500</v>
      </c>
      <c r="O54" s="5" t="s">
        <v>47</v>
      </c>
      <c r="P54" s="33">
        <f t="shared" si="1"/>
        <v>14.559999999999992</v>
      </c>
      <c r="Q54" s="33">
        <f t="shared" si="2"/>
        <v>15.724799999999991</v>
      </c>
    </row>
    <row r="55" spans="1:18" x14ac:dyDescent="0.25">
      <c r="A55" s="5">
        <v>290</v>
      </c>
      <c r="B55" s="6" t="s">
        <v>75</v>
      </c>
      <c r="C55" s="7">
        <v>6250</v>
      </c>
      <c r="D55" s="7">
        <v>419.88</v>
      </c>
      <c r="E55" s="8">
        <f>D55*6</f>
        <v>2519.2799999999997</v>
      </c>
      <c r="F55" s="8">
        <f t="shared" si="9"/>
        <v>419.88</v>
      </c>
      <c r="G55" s="9">
        <f>E55+F55</f>
        <v>2939.16</v>
      </c>
      <c r="H55" s="37">
        <v>3354.2</v>
      </c>
      <c r="I55" s="10">
        <v>0</v>
      </c>
      <c r="J55" s="10">
        <v>0</v>
      </c>
      <c r="K55" s="11"/>
      <c r="L55" s="19"/>
      <c r="M55" s="13">
        <f>C55-H55-I55+L55-K55-J55</f>
        <v>2895.8</v>
      </c>
      <c r="N55" s="14">
        <f>H55+M55</f>
        <v>6250</v>
      </c>
      <c r="O55" s="5" t="s">
        <v>47</v>
      </c>
      <c r="P55" s="33">
        <f>+M55*0.1</f>
        <v>289.58000000000004</v>
      </c>
      <c r="Q55" s="33">
        <f>+P55*1.08</f>
        <v>312.74640000000005</v>
      </c>
    </row>
    <row r="56" spans="1:18" x14ac:dyDescent="0.25">
      <c r="A56" s="5">
        <v>291</v>
      </c>
      <c r="B56" s="6" t="s">
        <v>78</v>
      </c>
      <c r="C56" s="7">
        <v>4250</v>
      </c>
      <c r="D56" s="7">
        <v>419.88</v>
      </c>
      <c r="E56" s="8">
        <f t="shared" si="3"/>
        <v>2519.2799999999997</v>
      </c>
      <c r="F56" s="8">
        <f t="shared" si="9"/>
        <v>419.88</v>
      </c>
      <c r="G56" s="9">
        <f t="shared" si="4"/>
        <v>2939.16</v>
      </c>
      <c r="H56" s="37">
        <v>2879</v>
      </c>
      <c r="I56" s="10">
        <v>0</v>
      </c>
      <c r="J56" s="10">
        <v>0</v>
      </c>
      <c r="K56" s="11">
        <v>710.36</v>
      </c>
      <c r="L56" s="19"/>
      <c r="M56" s="13">
        <f t="shared" si="6"/>
        <v>660.64</v>
      </c>
      <c r="N56" s="14">
        <f t="shared" si="0"/>
        <v>3539.64</v>
      </c>
      <c r="O56" s="5" t="s">
        <v>47</v>
      </c>
      <c r="P56" s="33">
        <f t="shared" si="1"/>
        <v>66.064000000000007</v>
      </c>
      <c r="Q56" s="33">
        <f t="shared" si="2"/>
        <v>71.349120000000013</v>
      </c>
    </row>
    <row r="57" spans="1:18" ht="16.149999999999999" customHeight="1" thickBot="1" x14ac:dyDescent="0.3"/>
    <row r="58" spans="1:18" ht="18" thickBot="1" x14ac:dyDescent="0.35">
      <c r="A58" s="23"/>
      <c r="B58" s="24"/>
      <c r="C58" s="25">
        <f t="shared" ref="C58:N58" si="10">SUM(C4:C57)</f>
        <v>259750</v>
      </c>
      <c r="D58" s="25">
        <f t="shared" si="10"/>
        <v>22253.64</v>
      </c>
      <c r="E58" s="25">
        <f t="shared" si="10"/>
        <v>133521.83999999997</v>
      </c>
      <c r="F58" s="25">
        <f t="shared" si="10"/>
        <v>22253.64</v>
      </c>
      <c r="G58" s="25">
        <f t="shared" si="10"/>
        <v>155775.48000000013</v>
      </c>
      <c r="H58" s="25">
        <f>SUM(H4:H57)</f>
        <v>169922.79999999993</v>
      </c>
      <c r="I58" s="26">
        <f t="shared" si="10"/>
        <v>7574.96</v>
      </c>
      <c r="J58" s="26">
        <f t="shared" si="10"/>
        <v>2694.96</v>
      </c>
      <c r="K58" s="26">
        <f t="shared" si="10"/>
        <v>7977.67</v>
      </c>
      <c r="L58" s="27">
        <f t="shared" si="10"/>
        <v>357.14</v>
      </c>
      <c r="M58" s="25">
        <f>SUM(M4:M57)</f>
        <v>71936.750000000015</v>
      </c>
      <c r="N58" s="25">
        <f t="shared" si="10"/>
        <v>241859.55</v>
      </c>
      <c r="P58" s="25">
        <f>SUM(P4:P57)</f>
        <v>7193.6750000000038</v>
      </c>
      <c r="Q58" s="25">
        <f>SUM(Q4:Q57)</f>
        <v>7769.1690000000017</v>
      </c>
      <c r="R58" s="55">
        <f>+N58+Q58</f>
        <v>249628.71899999998</v>
      </c>
    </row>
    <row r="59" spans="1:18" x14ac:dyDescent="0.25">
      <c r="H59" s="15"/>
      <c r="M59" s="15"/>
    </row>
    <row r="60" spans="1:18" x14ac:dyDescent="0.25">
      <c r="H60" s="15"/>
      <c r="I60">
        <f>+I58/75</f>
        <v>100.99946666666666</v>
      </c>
      <c r="J60" s="28">
        <f>SUM(J58)/35</f>
        <v>76.998857142857148</v>
      </c>
      <c r="R60" s="55">
        <v>12886.8</v>
      </c>
    </row>
    <row r="61" spans="1:18" x14ac:dyDescent="0.25">
      <c r="F61" s="15"/>
      <c r="H61" s="15">
        <f>H58+M58</f>
        <v>241859.54999999993</v>
      </c>
      <c r="K61" s="15"/>
    </row>
    <row r="62" spans="1:18" x14ac:dyDescent="0.25">
      <c r="H62" s="15">
        <f>'[1]Nom 9'!$H$53</f>
        <v>131178.05999999994</v>
      </c>
      <c r="I62" s="40"/>
      <c r="J62" s="15"/>
    </row>
    <row r="63" spans="1:18" x14ac:dyDescent="0.25">
      <c r="H63" s="15">
        <f>[2]Rino!$H$8</f>
        <v>75398.810000000012</v>
      </c>
    </row>
    <row r="64" spans="1:18" x14ac:dyDescent="0.25">
      <c r="H64" s="15">
        <f>H62+H63</f>
        <v>206576.86999999994</v>
      </c>
    </row>
  </sheetData>
  <autoFilter ref="A3:Q56" xr:uid="{00000000-0009-0000-0000-000003000000}"/>
  <mergeCells count="2">
    <mergeCell ref="A1:N1"/>
    <mergeCell ref="A2:N2"/>
  </mergeCells>
  <pageMargins left="0.25" right="0.25" top="0.75" bottom="0.75" header="0.3" footer="0.3"/>
  <pageSetup scale="51" orientation="landscape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8631-8A52-49E1-9323-D217D13B4B55}">
  <sheetPr>
    <pageSetUpPr fitToPage="1"/>
  </sheetPr>
  <dimension ref="A1:R65"/>
  <sheetViews>
    <sheetView showGridLines="0" topLeftCell="A53" zoomScaleNormal="100" workbookViewId="0">
      <selection activeCell="I20" sqref="I20:J20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style="117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144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116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t="15.75" hidden="1" thickBot="1" x14ac:dyDescent="0.3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62" si="0">H4+M4</f>
        <v>0</v>
      </c>
      <c r="O4" s="81" t="s">
        <v>48</v>
      </c>
      <c r="P4" s="82">
        <f t="shared" ref="P4:P62" si="1">+M4*0.1</f>
        <v>0</v>
      </c>
      <c r="Q4" s="82">
        <f t="shared" ref="Q4:Q62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2" si="3">D5*6</f>
        <v>2519.2799999999997</v>
      </c>
      <c r="F5" s="8">
        <f t="shared" ref="F5:F62" si="4">$D$4</f>
        <v>419.88</v>
      </c>
      <c r="G5" s="9">
        <f t="shared" ref="G5:G62" si="5">E5+F5</f>
        <v>2939.16</v>
      </c>
      <c r="H5" s="37">
        <v>3354.2</v>
      </c>
      <c r="I5" s="10">
        <v>375</v>
      </c>
      <c r="J5" s="10"/>
      <c r="K5" s="11"/>
      <c r="L5" s="19"/>
      <c r="M5" s="13">
        <f>C5-H5-I5+L5-K5-J5</f>
        <v>270.80000000000018</v>
      </c>
      <c r="N5" s="14">
        <f t="shared" si="0"/>
        <v>3625</v>
      </c>
      <c r="O5" s="29" t="s">
        <v>47</v>
      </c>
      <c r="P5" s="33">
        <f t="shared" si="1"/>
        <v>27.08000000000002</v>
      </c>
      <c r="Q5" s="33">
        <f t="shared" si="2"/>
        <v>29.246400000000023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7">
        <v>3354.4</v>
      </c>
      <c r="I6" s="10">
        <v>150</v>
      </c>
      <c r="J6" s="10">
        <v>105</v>
      </c>
      <c r="K6" s="21"/>
      <c r="L6" s="19"/>
      <c r="M6" s="13">
        <f>C6-H6-I6+L6-K6-J6</f>
        <v>11390.6</v>
      </c>
      <c r="N6" s="14">
        <f>H6+M6</f>
        <v>14745</v>
      </c>
      <c r="O6" s="30" t="s">
        <v>118</v>
      </c>
      <c r="P6" s="33">
        <f t="shared" si="1"/>
        <v>1139.0600000000002</v>
      </c>
      <c r="Q6" s="33">
        <f t="shared" si="2"/>
        <v>1230.1848000000002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7">
        <v>3354.2</v>
      </c>
      <c r="I7" s="10">
        <v>375</v>
      </c>
      <c r="J7" s="10">
        <v>70</v>
      </c>
      <c r="K7" s="21"/>
      <c r="L7" s="19"/>
      <c r="M7" s="13">
        <f t="shared" ref="M7:M56" si="6">C7-H7-I7+L7-K7-J7</f>
        <v>1200.8000000000002</v>
      </c>
      <c r="N7" s="14">
        <f t="shared" si="0"/>
        <v>4555</v>
      </c>
      <c r="O7" s="36" t="s">
        <v>118</v>
      </c>
      <c r="P7" s="33">
        <f t="shared" si="1"/>
        <v>120.08000000000003</v>
      </c>
      <c r="Q7" s="33">
        <f t="shared" si="2"/>
        <v>129.68640000000005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3354.2</v>
      </c>
      <c r="I8" s="10">
        <v>300</v>
      </c>
      <c r="J8" s="10">
        <v>105</v>
      </c>
      <c r="K8" s="11"/>
      <c r="L8" s="12"/>
      <c r="M8" s="13">
        <f t="shared" si="6"/>
        <v>740.80000000000018</v>
      </c>
      <c r="N8" s="14">
        <f t="shared" si="0"/>
        <v>4095</v>
      </c>
      <c r="O8" s="30" t="s">
        <v>118</v>
      </c>
      <c r="P8" s="33">
        <f t="shared" si="1"/>
        <v>74.080000000000027</v>
      </c>
      <c r="Q8" s="33">
        <f t="shared" si="2"/>
        <v>80.006400000000028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2879</v>
      </c>
      <c r="I9" s="10"/>
      <c r="J9" s="10">
        <v>70</v>
      </c>
      <c r="K9" s="21">
        <v>587.84</v>
      </c>
      <c r="L9" s="12"/>
      <c r="M9" s="22">
        <f t="shared" si="6"/>
        <v>463.15999999999997</v>
      </c>
      <c r="N9" s="14">
        <f t="shared" si="0"/>
        <v>3342.16</v>
      </c>
      <c r="O9" s="30" t="s">
        <v>47</v>
      </c>
      <c r="P9" s="33">
        <f t="shared" si="1"/>
        <v>46.316000000000003</v>
      </c>
      <c r="Q9" s="33">
        <f t="shared" si="2"/>
        <v>50.021280000000004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3354.4</v>
      </c>
      <c r="I10" s="10"/>
      <c r="J10" s="10"/>
      <c r="K10" s="100"/>
      <c r="L10" s="19"/>
      <c r="M10" s="22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3354.2</v>
      </c>
      <c r="I11" s="10">
        <v>75</v>
      </c>
      <c r="J11" s="10"/>
      <c r="K11" s="11"/>
      <c r="L11" s="12"/>
      <c r="M11" s="13">
        <f t="shared" si="6"/>
        <v>3570.8</v>
      </c>
      <c r="N11" s="14">
        <f t="shared" si="0"/>
        <v>6925</v>
      </c>
      <c r="O11" s="30" t="s">
        <v>118</v>
      </c>
      <c r="P11" s="33">
        <f t="shared" si="1"/>
        <v>357.08000000000004</v>
      </c>
      <c r="Q11" s="33">
        <f t="shared" si="2"/>
        <v>385.64640000000009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3296.6</v>
      </c>
      <c r="I12" s="10">
        <v>150</v>
      </c>
      <c r="J12" s="10">
        <v>70</v>
      </c>
      <c r="K12" s="11">
        <v>314.29000000000002</v>
      </c>
      <c r="L12" s="12"/>
      <c r="M12" s="13">
        <f t="shared" si="6"/>
        <v>1169.1100000000001</v>
      </c>
      <c r="N12" s="14">
        <f t="shared" si="0"/>
        <v>4465.71</v>
      </c>
      <c r="O12" s="30">
        <v>0.03</v>
      </c>
      <c r="P12" s="33">
        <f t="shared" si="1"/>
        <v>116.91100000000002</v>
      </c>
      <c r="Q12" s="33">
        <f t="shared" si="2"/>
        <v>126.26388000000003</v>
      </c>
    </row>
    <row r="13" spans="1:17" ht="15" customHeight="1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3245.2</v>
      </c>
      <c r="I13" s="10">
        <v>150</v>
      </c>
      <c r="J13" s="10">
        <v>105</v>
      </c>
      <c r="K13" s="21"/>
      <c r="L13" s="19"/>
      <c r="M13" s="13">
        <f>C13-H13-I13+L13-K13-J13+0.2</f>
        <v>1.819100425848319E-13</v>
      </c>
      <c r="N13" s="14">
        <f t="shared" si="0"/>
        <v>3245.2</v>
      </c>
      <c r="O13" s="30">
        <v>0.03</v>
      </c>
      <c r="P13" s="33">
        <f t="shared" si="1"/>
        <v>1.8191004258483192E-14</v>
      </c>
      <c r="Q13" s="33">
        <f t="shared" si="2"/>
        <v>1.9646284599161848E-14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7">
        <v>1423</v>
      </c>
      <c r="I14" s="10"/>
      <c r="J14" s="10">
        <v>70</v>
      </c>
      <c r="K14" s="21">
        <v>2285.71</v>
      </c>
      <c r="L14" s="19"/>
      <c r="M14" s="22">
        <f>C14-H14-I14+L14-K14-J14</f>
        <v>221.28999999999996</v>
      </c>
      <c r="N14" s="14">
        <f t="shared" si="0"/>
        <v>1644.29</v>
      </c>
      <c r="O14" s="36" t="s">
        <v>50</v>
      </c>
      <c r="P14" s="33">
        <f t="shared" si="1"/>
        <v>22.128999999999998</v>
      </c>
      <c r="Q14" s="33">
        <f t="shared" si="2"/>
        <v>23.899319999999999</v>
      </c>
    </row>
    <row r="15" spans="1:17" x14ac:dyDescent="0.25">
      <c r="A15" s="5">
        <v>150</v>
      </c>
      <c r="B15" s="6" t="s">
        <v>24</v>
      </c>
      <c r="C15" s="7">
        <v>5000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3354.4</v>
      </c>
      <c r="I15" s="10"/>
      <c r="J15" s="10"/>
      <c r="K15" s="21"/>
      <c r="L15" s="19"/>
      <c r="M15" s="13">
        <f t="shared" si="6"/>
        <v>1645.6</v>
      </c>
      <c r="N15" s="14">
        <f t="shared" si="0"/>
        <v>5000</v>
      </c>
      <c r="O15" s="30" t="s">
        <v>47</v>
      </c>
      <c r="P15" s="33">
        <f t="shared" si="1"/>
        <v>164.56</v>
      </c>
      <c r="Q15" s="33">
        <f t="shared" si="2"/>
        <v>177.72480000000002</v>
      </c>
    </row>
    <row r="16" spans="1:17" x14ac:dyDescent="0.25">
      <c r="A16" s="5">
        <v>752</v>
      </c>
      <c r="B16" s="6" t="s">
        <v>25</v>
      </c>
      <c r="C16" s="7">
        <v>4500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3354.4</v>
      </c>
      <c r="I16" s="10">
        <v>225</v>
      </c>
      <c r="J16" s="10">
        <v>35</v>
      </c>
      <c r="K16" s="21"/>
      <c r="L16" s="12"/>
      <c r="M16" s="13">
        <f>C16-H16-I16+L16-K16-J16</f>
        <v>885.59999999999991</v>
      </c>
      <c r="N16" s="14">
        <f t="shared" si="0"/>
        <v>4240</v>
      </c>
      <c r="O16" s="29">
        <v>0.03</v>
      </c>
      <c r="P16" s="33">
        <f t="shared" si="1"/>
        <v>88.56</v>
      </c>
      <c r="Q16" s="33">
        <f t="shared" si="2"/>
        <v>95.644800000000004</v>
      </c>
    </row>
    <row r="17" spans="1:17" s="55" customFormat="1" x14ac:dyDescent="0.25">
      <c r="A17" s="5">
        <v>162</v>
      </c>
      <c r="B17" s="6" t="s">
        <v>27</v>
      </c>
      <c r="C17" s="7">
        <v>4500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3065</v>
      </c>
      <c r="I17" s="10">
        <v>150</v>
      </c>
      <c r="J17" s="10">
        <v>35</v>
      </c>
      <c r="K17" s="21">
        <f>282.86+293.92</f>
        <v>576.78</v>
      </c>
      <c r="L17" s="19"/>
      <c r="M17" s="13">
        <f t="shared" si="6"/>
        <v>673.22</v>
      </c>
      <c r="N17" s="14">
        <f t="shared" si="0"/>
        <v>3738.2200000000003</v>
      </c>
      <c r="O17" s="29">
        <v>0.03</v>
      </c>
      <c r="P17" s="33">
        <f t="shared" si="1"/>
        <v>67.322000000000003</v>
      </c>
      <c r="Q17" s="33">
        <f t="shared" si="2"/>
        <v>72.707760000000007</v>
      </c>
    </row>
    <row r="18" spans="1:17" s="55" customFormat="1" x14ac:dyDescent="0.25">
      <c r="A18" s="5">
        <v>174</v>
      </c>
      <c r="B18" s="6" t="s">
        <v>28</v>
      </c>
      <c r="C18" s="7">
        <v>10000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2376</v>
      </c>
      <c r="I18" s="10"/>
      <c r="J18" s="10"/>
      <c r="K18" s="16">
        <f>908.03+1697.53</f>
        <v>2605.56</v>
      </c>
      <c r="L18" s="12"/>
      <c r="M18" s="13">
        <f t="shared" si="6"/>
        <v>5018.4400000000005</v>
      </c>
      <c r="N18" s="14">
        <f t="shared" si="0"/>
        <v>7394.4400000000005</v>
      </c>
      <c r="O18" s="29" t="s">
        <v>50</v>
      </c>
      <c r="P18" s="33">
        <f t="shared" si="1"/>
        <v>501.84400000000005</v>
      </c>
      <c r="Q18" s="33">
        <f t="shared" si="2"/>
        <v>541.99152000000004</v>
      </c>
    </row>
    <row r="19" spans="1:17" s="55" customFormat="1" x14ac:dyDescent="0.25">
      <c r="A19" s="5">
        <v>184</v>
      </c>
      <c r="B19" s="6" t="s">
        <v>29</v>
      </c>
      <c r="C19" s="7">
        <v>8000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3354.4</v>
      </c>
      <c r="I19" s="10">
        <v>375</v>
      </c>
      <c r="J19" s="10">
        <v>105</v>
      </c>
      <c r="K19" s="21"/>
      <c r="L19" s="19"/>
      <c r="M19" s="13">
        <f t="shared" si="6"/>
        <v>4165.6000000000004</v>
      </c>
      <c r="N19" s="14">
        <f t="shared" si="0"/>
        <v>7520</v>
      </c>
      <c r="O19" s="29">
        <v>0.03</v>
      </c>
      <c r="P19" s="33">
        <f t="shared" si="1"/>
        <v>416.56000000000006</v>
      </c>
      <c r="Q19" s="33">
        <f t="shared" si="2"/>
        <v>449.8848000000001</v>
      </c>
    </row>
    <row r="20" spans="1:17" s="55" customFormat="1" ht="13.5" customHeight="1" x14ac:dyDescent="0.25">
      <c r="A20" s="5">
        <v>204</v>
      </c>
      <c r="B20" s="6" t="s">
        <v>33</v>
      </c>
      <c r="C20" s="7">
        <v>5000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3354.2</v>
      </c>
      <c r="I20" s="10">
        <v>375</v>
      </c>
      <c r="J20" s="10">
        <v>35</v>
      </c>
      <c r="K20" s="11"/>
      <c r="L20" s="19"/>
      <c r="M20" s="13">
        <f t="shared" si="6"/>
        <v>1235.8000000000002</v>
      </c>
      <c r="N20" s="14">
        <f t="shared" si="0"/>
        <v>4590</v>
      </c>
      <c r="O20" s="29" t="s">
        <v>118</v>
      </c>
      <c r="P20" s="33">
        <f t="shared" si="1"/>
        <v>123.58000000000003</v>
      </c>
      <c r="Q20" s="33">
        <f t="shared" si="2"/>
        <v>133.46640000000005</v>
      </c>
    </row>
    <row r="21" spans="1:17" s="55" customFormat="1" x14ac:dyDescent="0.25">
      <c r="A21" s="5">
        <v>213</v>
      </c>
      <c r="B21" s="6" t="s">
        <v>34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3354.2</v>
      </c>
      <c r="I21" s="10"/>
      <c r="J21" s="10"/>
      <c r="K21" s="11"/>
      <c r="L21" s="12"/>
      <c r="M21" s="13">
        <f t="shared" si="6"/>
        <v>645.80000000000018</v>
      </c>
      <c r="N21" s="14">
        <f t="shared" si="0"/>
        <v>4000</v>
      </c>
      <c r="O21" s="29" t="s">
        <v>50</v>
      </c>
      <c r="P21" s="33">
        <f t="shared" si="1"/>
        <v>64.580000000000027</v>
      </c>
      <c r="Q21" s="33">
        <f t="shared" si="2"/>
        <v>69.746400000000037</v>
      </c>
    </row>
    <row r="22" spans="1:17" s="55" customFormat="1" x14ac:dyDescent="0.25">
      <c r="A22" s="5">
        <v>215</v>
      </c>
      <c r="B22" s="6" t="s">
        <v>35</v>
      </c>
      <c r="C22" s="7">
        <v>5000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3354.4</v>
      </c>
      <c r="I22" s="10">
        <v>225</v>
      </c>
      <c r="J22" s="10">
        <v>35</v>
      </c>
      <c r="K22" s="21"/>
      <c r="L22" s="19"/>
      <c r="M22" s="13">
        <f t="shared" si="6"/>
        <v>1385.6</v>
      </c>
      <c r="N22" s="14">
        <f t="shared" si="0"/>
        <v>4740</v>
      </c>
      <c r="O22" s="29" t="s">
        <v>118</v>
      </c>
      <c r="P22" s="33">
        <f t="shared" si="1"/>
        <v>138.56</v>
      </c>
      <c r="Q22" s="33">
        <f t="shared" si="2"/>
        <v>149.6448</v>
      </c>
    </row>
    <row r="23" spans="1:17" s="55" customFormat="1" x14ac:dyDescent="0.25">
      <c r="A23" s="5">
        <v>218</v>
      </c>
      <c r="B23" s="6" t="s">
        <v>36</v>
      </c>
      <c r="C23" s="7">
        <v>3500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3354.2</v>
      </c>
      <c r="I23" s="10"/>
      <c r="J23" s="10"/>
      <c r="K23" s="12"/>
      <c r="L23" s="12"/>
      <c r="M23" s="13">
        <f t="shared" si="6"/>
        <v>145.80000000000018</v>
      </c>
      <c r="N23" s="14">
        <f t="shared" si="0"/>
        <v>3500</v>
      </c>
      <c r="O23" s="29" t="s">
        <v>49</v>
      </c>
      <c r="P23" s="33">
        <f t="shared" si="1"/>
        <v>14.58000000000002</v>
      </c>
      <c r="Q23" s="33">
        <f t="shared" si="2"/>
        <v>15.746400000000023</v>
      </c>
    </row>
    <row r="24" spans="1:17" s="55" customFormat="1" x14ac:dyDescent="0.25">
      <c r="A24" s="36">
        <v>220</v>
      </c>
      <c r="B24" s="6" t="s">
        <v>37</v>
      </c>
      <c r="C24" s="7">
        <v>4000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56.4</v>
      </c>
      <c r="I24" s="10"/>
      <c r="J24" s="10"/>
      <c r="K24" s="16">
        <f>610.33+3333.35</f>
        <v>3943.68</v>
      </c>
      <c r="L24" s="12"/>
      <c r="M24" s="22">
        <f>C24-H24-I24+L24-K24-J24+0.08</f>
        <v>7.2761241476371197E-14</v>
      </c>
      <c r="N24" s="14">
        <f t="shared" si="0"/>
        <v>56.40000000000007</v>
      </c>
      <c r="O24" s="36">
        <v>0.03</v>
      </c>
      <c r="P24" s="33">
        <f t="shared" si="1"/>
        <v>7.2761241476371206E-15</v>
      </c>
      <c r="Q24" s="33">
        <f t="shared" si="2"/>
        <v>7.8582140794480912E-15</v>
      </c>
    </row>
    <row r="25" spans="1:17" s="55" customFormat="1" x14ac:dyDescent="0.25">
      <c r="A25" s="5">
        <v>221</v>
      </c>
      <c r="B25" s="6" t="s">
        <v>38</v>
      </c>
      <c r="C25" s="7">
        <v>5000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7">
        <v>3354.4</v>
      </c>
      <c r="I25" s="10">
        <v>375</v>
      </c>
      <c r="J25" s="10"/>
      <c r="K25" s="21"/>
      <c r="L25" s="12"/>
      <c r="M25" s="13">
        <f t="shared" si="6"/>
        <v>1270.5999999999999</v>
      </c>
      <c r="N25" s="14">
        <f t="shared" si="0"/>
        <v>4625</v>
      </c>
      <c r="O25" s="29">
        <v>0.03</v>
      </c>
      <c r="P25" s="33">
        <f t="shared" si="1"/>
        <v>127.06</v>
      </c>
      <c r="Q25" s="33">
        <f t="shared" si="2"/>
        <v>137.22480000000002</v>
      </c>
    </row>
    <row r="26" spans="1:17" s="55" customFormat="1" x14ac:dyDescent="0.25">
      <c r="A26" s="5">
        <v>222</v>
      </c>
      <c r="B26" s="6" t="s">
        <v>39</v>
      </c>
      <c r="C26" s="7">
        <v>8000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2447.1999999999998</v>
      </c>
      <c r="I26" s="10">
        <v>375</v>
      </c>
      <c r="J26" s="10">
        <v>105</v>
      </c>
      <c r="K26" s="16">
        <f>1538.46+293.92</f>
        <v>1832.38</v>
      </c>
      <c r="L26" s="19"/>
      <c r="M26" s="13">
        <f t="shared" si="6"/>
        <v>3240.42</v>
      </c>
      <c r="N26" s="14">
        <f t="shared" si="0"/>
        <v>5687.62</v>
      </c>
      <c r="O26" s="29" t="s">
        <v>118</v>
      </c>
      <c r="P26" s="33">
        <f t="shared" si="1"/>
        <v>324.04200000000003</v>
      </c>
      <c r="Q26" s="33">
        <f t="shared" si="2"/>
        <v>349.96536000000003</v>
      </c>
    </row>
    <row r="27" spans="1:17" s="55" customFormat="1" x14ac:dyDescent="0.25">
      <c r="A27" s="5">
        <v>227</v>
      </c>
      <c r="B27" s="6" t="s">
        <v>41</v>
      </c>
      <c r="C27" s="7">
        <v>6000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3354.4</v>
      </c>
      <c r="I27" s="10">
        <v>375</v>
      </c>
      <c r="J27" s="10">
        <v>105</v>
      </c>
      <c r="K27" s="21"/>
      <c r="L27" s="12"/>
      <c r="M27" s="13">
        <f t="shared" si="6"/>
        <v>2165.6</v>
      </c>
      <c r="N27" s="14">
        <f t="shared" si="0"/>
        <v>5520</v>
      </c>
      <c r="O27" s="29" t="s">
        <v>118</v>
      </c>
      <c r="P27" s="33">
        <f t="shared" si="1"/>
        <v>216.56</v>
      </c>
      <c r="Q27" s="33">
        <f t="shared" si="2"/>
        <v>233.88480000000001</v>
      </c>
    </row>
    <row r="28" spans="1:17" s="55" customFormat="1" x14ac:dyDescent="0.25">
      <c r="A28" s="5">
        <v>233</v>
      </c>
      <c r="B28" s="6" t="s">
        <v>42</v>
      </c>
      <c r="C28" s="7">
        <v>6250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3354.4</v>
      </c>
      <c r="I28" s="10">
        <v>375</v>
      </c>
      <c r="J28" s="10">
        <v>70</v>
      </c>
      <c r="K28" s="21"/>
      <c r="L28" s="19"/>
      <c r="M28" s="13">
        <f t="shared" si="6"/>
        <v>2450.6</v>
      </c>
      <c r="N28" s="14">
        <f t="shared" si="0"/>
        <v>5805</v>
      </c>
      <c r="O28" s="31" t="s">
        <v>118</v>
      </c>
      <c r="P28" s="33">
        <f t="shared" si="1"/>
        <v>245.06</v>
      </c>
      <c r="Q28" s="33">
        <f t="shared" si="2"/>
        <v>264.66480000000001</v>
      </c>
    </row>
    <row r="29" spans="1:17" s="55" customFormat="1" x14ac:dyDescent="0.25">
      <c r="A29" s="5">
        <v>244</v>
      </c>
      <c r="B29" s="6" t="s">
        <v>44</v>
      </c>
      <c r="C29" s="7">
        <v>5000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>
        <v>375</v>
      </c>
      <c r="J29" s="10">
        <v>105</v>
      </c>
      <c r="K29" s="21"/>
      <c r="L29" s="12"/>
      <c r="M29" s="13">
        <f>C29-H29-I29+L29-K29-J29</f>
        <v>1165.5999999999999</v>
      </c>
      <c r="N29" s="14">
        <f t="shared" si="0"/>
        <v>4520</v>
      </c>
      <c r="O29" s="29">
        <v>0.03</v>
      </c>
      <c r="P29" s="33">
        <f t="shared" si="1"/>
        <v>116.56</v>
      </c>
      <c r="Q29" s="33">
        <f t="shared" si="2"/>
        <v>125.88480000000001</v>
      </c>
    </row>
    <row r="30" spans="1:17" s="55" customFormat="1" x14ac:dyDescent="0.25">
      <c r="A30" s="5">
        <v>245</v>
      </c>
      <c r="B30" s="6" t="s">
        <v>45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3354.4</v>
      </c>
      <c r="I30" s="10"/>
      <c r="J30" s="10"/>
      <c r="K30" s="11"/>
      <c r="L30" s="19"/>
      <c r="M30" s="13">
        <f t="shared" si="6"/>
        <v>1645.6</v>
      </c>
      <c r="N30" s="14">
        <f>H30+M30</f>
        <v>5000</v>
      </c>
      <c r="O30" s="34" t="s">
        <v>47</v>
      </c>
      <c r="P30" s="33">
        <f t="shared" si="1"/>
        <v>164.56</v>
      </c>
      <c r="Q30" s="33">
        <f t="shared" si="2"/>
        <v>177.72480000000002</v>
      </c>
    </row>
    <row r="31" spans="1:17" s="55" customFormat="1" x14ac:dyDescent="0.25">
      <c r="A31" s="5">
        <v>252</v>
      </c>
      <c r="B31" s="6" t="s">
        <v>53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3354.4</v>
      </c>
      <c r="I31" s="10">
        <v>150</v>
      </c>
      <c r="J31" s="10">
        <v>35</v>
      </c>
      <c r="K31" s="21"/>
      <c r="L31" s="12"/>
      <c r="M31" s="22">
        <f>C31-H31-I31+L31-K31-J31</f>
        <v>1460.6</v>
      </c>
      <c r="N31" s="14">
        <f t="shared" si="0"/>
        <v>4815</v>
      </c>
      <c r="O31" s="5">
        <v>0.03</v>
      </c>
      <c r="P31" s="33">
        <f t="shared" si="1"/>
        <v>146.06</v>
      </c>
      <c r="Q31" s="33">
        <f t="shared" si="2"/>
        <v>157.74480000000003</v>
      </c>
    </row>
    <row r="32" spans="1:17" s="55" customFormat="1" x14ac:dyDescent="0.25">
      <c r="A32" s="5">
        <v>260</v>
      </c>
      <c r="B32" s="6" t="s">
        <v>54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2903.2</v>
      </c>
      <c r="I32" s="10">
        <v>375</v>
      </c>
      <c r="J32" s="10"/>
      <c r="K32" s="11">
        <v>714.29</v>
      </c>
      <c r="L32" s="19"/>
      <c r="M32" s="13">
        <f t="shared" si="6"/>
        <v>1007.5100000000002</v>
      </c>
      <c r="N32" s="14">
        <f t="shared" si="0"/>
        <v>3910.71</v>
      </c>
      <c r="O32" s="5" t="s">
        <v>48</v>
      </c>
      <c r="P32" s="33">
        <f t="shared" si="1"/>
        <v>100.75100000000003</v>
      </c>
      <c r="Q32" s="33">
        <f t="shared" si="2"/>
        <v>108.81108000000005</v>
      </c>
    </row>
    <row r="33" spans="1:17" s="55" customFormat="1" x14ac:dyDescent="0.25">
      <c r="A33" s="5">
        <v>261</v>
      </c>
      <c r="B33" s="6" t="s">
        <v>55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2370.8000000000002</v>
      </c>
      <c r="I33" s="10">
        <v>225</v>
      </c>
      <c r="J33" s="10">
        <v>140</v>
      </c>
      <c r="K33" s="16">
        <v>913.35</v>
      </c>
      <c r="L33" s="19"/>
      <c r="M33" s="13">
        <f t="shared" si="6"/>
        <v>350.8499999999998</v>
      </c>
      <c r="N33" s="14">
        <f t="shared" si="0"/>
        <v>2721.65</v>
      </c>
      <c r="O33" s="5">
        <v>0.03</v>
      </c>
      <c r="P33" s="33">
        <f t="shared" si="1"/>
        <v>35.08499999999998</v>
      </c>
      <c r="Q33" s="33">
        <f t="shared" si="2"/>
        <v>37.891799999999982</v>
      </c>
    </row>
    <row r="34" spans="1:17" s="55" customFormat="1" x14ac:dyDescent="0.25">
      <c r="A34" s="5">
        <v>267</v>
      </c>
      <c r="B34" s="6" t="s">
        <v>56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2848.4</v>
      </c>
      <c r="I34" s="10">
        <v>225</v>
      </c>
      <c r="J34" s="10"/>
      <c r="K34" s="16">
        <v>435.88</v>
      </c>
      <c r="L34" s="12"/>
      <c r="M34" s="13">
        <f t="shared" si="6"/>
        <v>1490.7199999999998</v>
      </c>
      <c r="N34" s="14">
        <f t="shared" si="0"/>
        <v>4339.12</v>
      </c>
      <c r="O34" s="5" t="s">
        <v>47</v>
      </c>
      <c r="P34" s="33">
        <f t="shared" si="1"/>
        <v>149.07199999999997</v>
      </c>
      <c r="Q34" s="33">
        <f t="shared" si="2"/>
        <v>160.99775999999997</v>
      </c>
    </row>
    <row r="35" spans="1:17" s="55" customFormat="1" x14ac:dyDescent="0.25">
      <c r="A35" s="5">
        <v>269</v>
      </c>
      <c r="B35" s="6" t="s">
        <v>58</v>
      </c>
      <c r="C35" s="7">
        <v>7000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3190.8</v>
      </c>
      <c r="I35" s="10"/>
      <c r="J35" s="10">
        <v>105</v>
      </c>
      <c r="K35" s="21">
        <v>293.92</v>
      </c>
      <c r="L35" s="19">
        <v>250</v>
      </c>
      <c r="M35" s="13">
        <f t="shared" si="6"/>
        <v>3660.2799999999997</v>
      </c>
      <c r="N35" s="14">
        <f>H35+M35</f>
        <v>6851.08</v>
      </c>
      <c r="O35" s="5" t="s">
        <v>118</v>
      </c>
      <c r="P35" s="33">
        <f t="shared" si="1"/>
        <v>366.02800000000002</v>
      </c>
      <c r="Q35" s="33">
        <f t="shared" si="2"/>
        <v>395.31024000000002</v>
      </c>
    </row>
    <row r="36" spans="1:17" s="55" customFormat="1" x14ac:dyDescent="0.25">
      <c r="A36" s="5">
        <v>271</v>
      </c>
      <c r="B36" s="6" t="s">
        <v>59</v>
      </c>
      <c r="C36" s="7">
        <v>4000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3354.4</v>
      </c>
      <c r="I36" s="10">
        <v>225</v>
      </c>
      <c r="J36" s="10">
        <v>70</v>
      </c>
      <c r="K36" s="21"/>
      <c r="L36" s="19"/>
      <c r="M36" s="22">
        <f t="shared" si="6"/>
        <v>350.59999999999991</v>
      </c>
      <c r="N36" s="14">
        <f t="shared" si="0"/>
        <v>3705</v>
      </c>
      <c r="O36" s="5">
        <v>0.03</v>
      </c>
      <c r="P36" s="33">
        <f t="shared" si="1"/>
        <v>35.059999999999995</v>
      </c>
      <c r="Q36" s="33">
        <f t="shared" si="2"/>
        <v>37.864799999999995</v>
      </c>
    </row>
    <row r="37" spans="1:17" s="55" customFormat="1" x14ac:dyDescent="0.25">
      <c r="A37" s="5">
        <v>275</v>
      </c>
      <c r="B37" s="6" t="s">
        <v>60</v>
      </c>
      <c r="C37" s="7">
        <v>3375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3354.2</v>
      </c>
      <c r="I37" s="10"/>
      <c r="J37" s="10"/>
      <c r="K37" s="21"/>
      <c r="L37" s="19"/>
      <c r="M37" s="13">
        <f t="shared" si="6"/>
        <v>20.800000000000182</v>
      </c>
      <c r="N37" s="14">
        <f>H37+M37</f>
        <v>3375</v>
      </c>
      <c r="O37" s="5">
        <v>0.03</v>
      </c>
      <c r="P37" s="33">
        <f>+M37*0.1</f>
        <v>2.0800000000000183</v>
      </c>
      <c r="Q37" s="33">
        <f>+P37*1.08</f>
        <v>2.2464000000000199</v>
      </c>
    </row>
    <row r="38" spans="1:17" s="55" customFormat="1" x14ac:dyDescent="0.25">
      <c r="A38" s="5">
        <v>276</v>
      </c>
      <c r="B38" s="6" t="s">
        <v>61</v>
      </c>
      <c r="C38" s="7">
        <v>5000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3354.2</v>
      </c>
      <c r="I38" s="10">
        <v>375</v>
      </c>
      <c r="J38" s="10">
        <v>105</v>
      </c>
      <c r="K38" s="11"/>
      <c r="L38" s="19"/>
      <c r="M38" s="13">
        <f t="shared" si="6"/>
        <v>1165.8000000000002</v>
      </c>
      <c r="N38" s="14">
        <f t="shared" si="0"/>
        <v>4520</v>
      </c>
      <c r="O38" s="5">
        <v>0.03</v>
      </c>
      <c r="P38" s="33">
        <f t="shared" si="1"/>
        <v>116.58000000000003</v>
      </c>
      <c r="Q38" s="33">
        <f t="shared" si="2"/>
        <v>125.90640000000003</v>
      </c>
    </row>
    <row r="39" spans="1:17" s="55" customFormat="1" x14ac:dyDescent="0.25">
      <c r="A39" s="5">
        <v>279</v>
      </c>
      <c r="B39" s="6" t="s">
        <v>63</v>
      </c>
      <c r="C39" s="7">
        <v>4500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3354.2</v>
      </c>
      <c r="I39" s="10">
        <v>75</v>
      </c>
      <c r="J39" s="10">
        <v>35</v>
      </c>
      <c r="K39" s="21"/>
      <c r="L39" s="19"/>
      <c r="M39" s="22">
        <f t="shared" si="6"/>
        <v>1035.8000000000002</v>
      </c>
      <c r="N39" s="14">
        <f t="shared" si="0"/>
        <v>4390</v>
      </c>
      <c r="O39" s="5" t="s">
        <v>118</v>
      </c>
      <c r="P39" s="33">
        <f t="shared" si="1"/>
        <v>103.58000000000003</v>
      </c>
      <c r="Q39" s="33">
        <f t="shared" si="2"/>
        <v>111.86640000000004</v>
      </c>
    </row>
    <row r="40" spans="1:17" s="55" customFormat="1" x14ac:dyDescent="0.25">
      <c r="A40" s="5">
        <v>280</v>
      </c>
      <c r="B40" s="6" t="s">
        <v>64</v>
      </c>
      <c r="C40" s="7">
        <v>5000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3354.4</v>
      </c>
      <c r="I40" s="10"/>
      <c r="J40" s="10"/>
      <c r="K40" s="11"/>
      <c r="L40" s="19"/>
      <c r="M40" s="13">
        <f t="shared" si="6"/>
        <v>1645.6</v>
      </c>
      <c r="N40" s="14">
        <f t="shared" si="0"/>
        <v>5000</v>
      </c>
      <c r="O40" s="5" t="s">
        <v>119</v>
      </c>
      <c r="P40" s="33">
        <f t="shared" si="1"/>
        <v>164.56</v>
      </c>
      <c r="Q40" s="33">
        <f t="shared" si="2"/>
        <v>177.72480000000002</v>
      </c>
    </row>
    <row r="41" spans="1:17" s="55" customFormat="1" x14ac:dyDescent="0.25">
      <c r="A41" s="5">
        <v>281</v>
      </c>
      <c r="B41" s="6" t="s">
        <v>65</v>
      </c>
      <c r="C41" s="7">
        <v>8750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2452.1999999999998</v>
      </c>
      <c r="I41" s="10"/>
      <c r="J41" s="10"/>
      <c r="K41" s="11">
        <v>2500</v>
      </c>
      <c r="L41" s="19"/>
      <c r="M41" s="13">
        <f t="shared" si="6"/>
        <v>3797.8</v>
      </c>
      <c r="N41" s="14">
        <f t="shared" si="0"/>
        <v>6250</v>
      </c>
      <c r="O41" s="5">
        <v>0.03</v>
      </c>
      <c r="P41" s="33">
        <f t="shared" si="1"/>
        <v>379.78000000000003</v>
      </c>
      <c r="Q41" s="33">
        <f t="shared" si="2"/>
        <v>410.16240000000005</v>
      </c>
    </row>
    <row r="42" spans="1:17" s="55" customFormat="1" x14ac:dyDescent="0.25">
      <c r="A42" s="5">
        <v>283</v>
      </c>
      <c r="B42" s="6" t="s">
        <v>66</v>
      </c>
      <c r="C42" s="7">
        <v>5000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3296.4</v>
      </c>
      <c r="I42" s="10"/>
      <c r="J42" s="10"/>
      <c r="K42" s="21">
        <v>314.29000000000002</v>
      </c>
      <c r="L42" s="12"/>
      <c r="M42" s="13">
        <f t="shared" si="6"/>
        <v>1389.31</v>
      </c>
      <c r="N42" s="14">
        <f t="shared" si="0"/>
        <v>4685.71</v>
      </c>
      <c r="O42" s="5">
        <v>0.03</v>
      </c>
      <c r="P42" s="33">
        <f t="shared" si="1"/>
        <v>138.93100000000001</v>
      </c>
      <c r="Q42" s="33">
        <f t="shared" si="2"/>
        <v>150.04548000000003</v>
      </c>
    </row>
    <row r="43" spans="1:17" s="55" customFormat="1" x14ac:dyDescent="0.25">
      <c r="A43" s="5">
        <v>284</v>
      </c>
      <c r="B43" s="6" t="s">
        <v>67</v>
      </c>
      <c r="C43" s="7">
        <v>4000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3354.2</v>
      </c>
      <c r="I43" s="10">
        <v>150</v>
      </c>
      <c r="J43" s="10">
        <v>70</v>
      </c>
      <c r="K43" s="11"/>
      <c r="L43" s="19"/>
      <c r="M43" s="13">
        <f t="shared" si="6"/>
        <v>425.80000000000018</v>
      </c>
      <c r="N43" s="14">
        <f t="shared" si="0"/>
        <v>3780</v>
      </c>
      <c r="O43" s="5" t="s">
        <v>48</v>
      </c>
      <c r="P43" s="33">
        <f t="shared" si="1"/>
        <v>42.58000000000002</v>
      </c>
      <c r="Q43" s="33">
        <f t="shared" si="2"/>
        <v>45.986400000000025</v>
      </c>
    </row>
    <row r="44" spans="1:17" s="55" customFormat="1" x14ac:dyDescent="0.25">
      <c r="A44" s="5">
        <v>285</v>
      </c>
      <c r="B44" s="6" t="s">
        <v>68</v>
      </c>
      <c r="C44" s="7">
        <v>4000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2879</v>
      </c>
      <c r="I44" s="10">
        <v>75</v>
      </c>
      <c r="J44" s="10">
        <v>35</v>
      </c>
      <c r="K44" s="21">
        <v>587.84</v>
      </c>
      <c r="L44" s="19"/>
      <c r="M44" s="13">
        <f>C44-H44-I44+L44-K44-J44</f>
        <v>423.15999999999997</v>
      </c>
      <c r="N44" s="14">
        <f t="shared" si="0"/>
        <v>3302.16</v>
      </c>
      <c r="O44" s="5" t="s">
        <v>48</v>
      </c>
      <c r="P44" s="33">
        <f t="shared" si="1"/>
        <v>42.316000000000003</v>
      </c>
      <c r="Q44" s="33">
        <f t="shared" si="2"/>
        <v>45.701280000000004</v>
      </c>
    </row>
    <row r="45" spans="1:17" s="55" customFormat="1" x14ac:dyDescent="0.25">
      <c r="A45" s="5">
        <v>286</v>
      </c>
      <c r="B45" s="6" t="s">
        <v>69</v>
      </c>
      <c r="C45" s="7">
        <v>4000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3354.4</v>
      </c>
      <c r="I45" s="10">
        <v>375</v>
      </c>
      <c r="J45" s="10"/>
      <c r="K45" s="11"/>
      <c r="L45" s="19"/>
      <c r="M45" s="13">
        <f t="shared" si="6"/>
        <v>270.59999999999991</v>
      </c>
      <c r="N45" s="14">
        <f t="shared" si="0"/>
        <v>3625</v>
      </c>
      <c r="O45" s="5" t="s">
        <v>118</v>
      </c>
      <c r="P45" s="33">
        <f t="shared" si="1"/>
        <v>27.059999999999992</v>
      </c>
      <c r="Q45" s="33">
        <f t="shared" si="2"/>
        <v>29.224799999999991</v>
      </c>
    </row>
    <row r="46" spans="1:17" s="55" customFormat="1" x14ac:dyDescent="0.25">
      <c r="A46" s="5">
        <v>287</v>
      </c>
      <c r="B46" s="6" t="s">
        <v>72</v>
      </c>
      <c r="C46" s="7">
        <v>5000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3354.2</v>
      </c>
      <c r="I46" s="10">
        <v>225</v>
      </c>
      <c r="J46" s="10">
        <v>105</v>
      </c>
      <c r="K46" s="21"/>
      <c r="L46" s="19"/>
      <c r="M46" s="13">
        <f>C46-H46-I46+L46-K46-J46</f>
        <v>1315.8000000000002</v>
      </c>
      <c r="N46" s="14">
        <f t="shared" si="0"/>
        <v>4670</v>
      </c>
      <c r="O46" s="5" t="s">
        <v>118</v>
      </c>
      <c r="P46" s="33">
        <f t="shared" si="1"/>
        <v>131.58000000000001</v>
      </c>
      <c r="Q46" s="33">
        <f t="shared" si="2"/>
        <v>142.10640000000004</v>
      </c>
    </row>
    <row r="47" spans="1:17" s="55" customFormat="1" x14ac:dyDescent="0.25">
      <c r="A47" s="5">
        <v>288</v>
      </c>
      <c r="B47" s="6" t="s">
        <v>73</v>
      </c>
      <c r="C47" s="7">
        <v>3500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3354.2</v>
      </c>
      <c r="I47" s="10"/>
      <c r="J47" s="10"/>
      <c r="K47" s="11"/>
      <c r="L47" s="19"/>
      <c r="M47" s="13">
        <f>C47-H47-I47+L47-K47-J47</f>
        <v>145.80000000000018</v>
      </c>
      <c r="N47" s="14">
        <f t="shared" si="0"/>
        <v>3500</v>
      </c>
      <c r="O47" s="5">
        <v>0.03</v>
      </c>
      <c r="P47" s="33">
        <f t="shared" si="1"/>
        <v>14.58000000000002</v>
      </c>
      <c r="Q47" s="33">
        <f t="shared" si="2"/>
        <v>15.746400000000023</v>
      </c>
    </row>
    <row r="48" spans="1:17" x14ac:dyDescent="0.25">
      <c r="A48" s="5">
        <v>289</v>
      </c>
      <c r="B48" s="6" t="s">
        <v>74</v>
      </c>
      <c r="C48" s="7">
        <v>3500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3354.2</v>
      </c>
      <c r="I48" s="10"/>
      <c r="J48" s="10"/>
      <c r="K48" s="11"/>
      <c r="L48" s="19">
        <v>1500</v>
      </c>
      <c r="M48" s="13">
        <f t="shared" si="6"/>
        <v>1645.8000000000002</v>
      </c>
      <c r="N48" s="14">
        <f t="shared" si="0"/>
        <v>5000</v>
      </c>
      <c r="O48" s="5">
        <v>0.03</v>
      </c>
      <c r="P48" s="33">
        <f t="shared" si="1"/>
        <v>164.58000000000004</v>
      </c>
      <c r="Q48" s="33">
        <f t="shared" si="2"/>
        <v>177.74640000000005</v>
      </c>
    </row>
    <row r="49" spans="1:18" x14ac:dyDescent="0.25">
      <c r="A49" s="5">
        <v>291</v>
      </c>
      <c r="B49" s="6" t="s">
        <v>78</v>
      </c>
      <c r="C49" s="7">
        <v>4250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3354.4</v>
      </c>
      <c r="I49" s="10"/>
      <c r="J49" s="10">
        <v>105</v>
      </c>
      <c r="K49" s="11"/>
      <c r="L49" s="19"/>
      <c r="M49" s="13">
        <f t="shared" si="6"/>
        <v>790.59999999999991</v>
      </c>
      <c r="N49" s="14">
        <f t="shared" si="0"/>
        <v>4145</v>
      </c>
      <c r="O49" s="5">
        <v>0.03</v>
      </c>
      <c r="P49" s="33">
        <f t="shared" si="1"/>
        <v>79.06</v>
      </c>
      <c r="Q49" s="33">
        <f t="shared" si="2"/>
        <v>85.384800000000013</v>
      </c>
    </row>
    <row r="50" spans="1:18" x14ac:dyDescent="0.25">
      <c r="A50" s="5">
        <v>293</v>
      </c>
      <c r="B50" s="6" t="s">
        <v>89</v>
      </c>
      <c r="C50" s="7">
        <v>4000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3354.4</v>
      </c>
      <c r="I50" s="10">
        <v>300</v>
      </c>
      <c r="J50" s="10">
        <v>105</v>
      </c>
      <c r="K50" s="11"/>
      <c r="L50" s="12"/>
      <c r="M50" s="13">
        <f t="shared" si="6"/>
        <v>240.59999999999991</v>
      </c>
      <c r="N50" s="14">
        <f t="shared" si="0"/>
        <v>3595</v>
      </c>
      <c r="O50" s="5">
        <v>0.03</v>
      </c>
      <c r="P50" s="33">
        <f t="shared" si="1"/>
        <v>24.059999999999992</v>
      </c>
      <c r="Q50" s="33">
        <f t="shared" si="2"/>
        <v>25.984799999999993</v>
      </c>
    </row>
    <row r="51" spans="1:18" x14ac:dyDescent="0.25">
      <c r="A51" s="5">
        <v>294</v>
      </c>
      <c r="B51" s="6" t="s">
        <v>91</v>
      </c>
      <c r="C51" s="7">
        <v>4000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3354.2</v>
      </c>
      <c r="I51" s="10">
        <v>375</v>
      </c>
      <c r="J51" s="10">
        <v>70</v>
      </c>
      <c r="K51" s="21"/>
      <c r="L51" s="12"/>
      <c r="M51" s="13">
        <f t="shared" si="6"/>
        <v>200.80000000000018</v>
      </c>
      <c r="N51" s="14">
        <f t="shared" si="0"/>
        <v>3555</v>
      </c>
      <c r="O51" s="5">
        <v>0.03</v>
      </c>
      <c r="P51" s="33">
        <f t="shared" si="1"/>
        <v>20.08000000000002</v>
      </c>
      <c r="Q51" s="33">
        <f t="shared" si="2"/>
        <v>21.686400000000024</v>
      </c>
    </row>
    <row r="52" spans="1:18" x14ac:dyDescent="0.25">
      <c r="A52" s="5">
        <v>295</v>
      </c>
      <c r="B52" s="6" t="s">
        <v>104</v>
      </c>
      <c r="C52" s="7">
        <v>5500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375</v>
      </c>
      <c r="J52" s="10">
        <v>70</v>
      </c>
      <c r="K52" s="21"/>
      <c r="L52" s="12"/>
      <c r="M52" s="22">
        <f t="shared" si="6"/>
        <v>1700.6</v>
      </c>
      <c r="N52" s="14">
        <f t="shared" si="0"/>
        <v>5055</v>
      </c>
      <c r="O52" s="5" t="s">
        <v>118</v>
      </c>
      <c r="P52" s="33">
        <f t="shared" si="1"/>
        <v>170.06</v>
      </c>
      <c r="Q52" s="33">
        <f t="shared" si="2"/>
        <v>183.66480000000001</v>
      </c>
    </row>
    <row r="53" spans="1:18" x14ac:dyDescent="0.25">
      <c r="A53" s="5">
        <v>298</v>
      </c>
      <c r="B53" s="6" t="s">
        <v>115</v>
      </c>
      <c r="C53" s="7">
        <v>5000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1822.4</v>
      </c>
      <c r="I53" s="10">
        <v>75</v>
      </c>
      <c r="J53" s="10">
        <v>70</v>
      </c>
      <c r="K53" s="16">
        <f>1461.94</f>
        <v>1461.94</v>
      </c>
      <c r="L53" s="12"/>
      <c r="M53" s="22">
        <f t="shared" si="6"/>
        <v>1570.6599999999999</v>
      </c>
      <c r="N53" s="14">
        <f t="shared" si="0"/>
        <v>3393.06</v>
      </c>
      <c r="O53" s="5">
        <v>0.03</v>
      </c>
      <c r="P53" s="33">
        <f t="shared" si="1"/>
        <v>157.066</v>
      </c>
      <c r="Q53" s="33">
        <f t="shared" si="2"/>
        <v>169.63128</v>
      </c>
    </row>
    <row r="54" spans="1:18" s="55" customFormat="1" x14ac:dyDescent="0.25">
      <c r="A54" s="5">
        <v>300</v>
      </c>
      <c r="B54" s="6" t="s">
        <v>121</v>
      </c>
      <c r="C54" s="7">
        <v>6250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3354.4</v>
      </c>
      <c r="I54" s="10"/>
      <c r="J54" s="10"/>
      <c r="K54" s="11"/>
      <c r="L54" s="12"/>
      <c r="M54" s="22">
        <f t="shared" si="6"/>
        <v>2895.6</v>
      </c>
      <c r="N54" s="14">
        <f t="shared" si="0"/>
        <v>6250</v>
      </c>
      <c r="O54" s="5">
        <v>0.03</v>
      </c>
      <c r="P54" s="33">
        <f t="shared" si="1"/>
        <v>289.56</v>
      </c>
      <c r="Q54" s="33">
        <f t="shared" si="2"/>
        <v>312.72480000000002</v>
      </c>
    </row>
    <row r="55" spans="1:18" s="55" customFormat="1" x14ac:dyDescent="0.25">
      <c r="A55" s="5">
        <v>301</v>
      </c>
      <c r="B55" s="6" t="s">
        <v>124</v>
      </c>
      <c r="C55" s="7">
        <v>5000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3354.2</v>
      </c>
      <c r="I55" s="10"/>
      <c r="J55" s="10"/>
      <c r="K55" s="11"/>
      <c r="L55" s="12"/>
      <c r="M55" s="22">
        <f t="shared" si="6"/>
        <v>1645.8000000000002</v>
      </c>
      <c r="N55" s="14">
        <f t="shared" si="0"/>
        <v>5000</v>
      </c>
      <c r="O55" s="5">
        <v>0.03</v>
      </c>
      <c r="P55" s="33">
        <f t="shared" si="1"/>
        <v>164.58000000000004</v>
      </c>
      <c r="Q55" s="33">
        <f t="shared" si="2"/>
        <v>177.74640000000005</v>
      </c>
    </row>
    <row r="56" spans="1:18" s="55" customFormat="1" x14ac:dyDescent="0.25">
      <c r="A56" s="5">
        <v>302</v>
      </c>
      <c r="B56" s="6" t="s">
        <v>128</v>
      </c>
      <c r="C56" s="7">
        <v>5000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3354.4</v>
      </c>
      <c r="I56" s="10">
        <v>75</v>
      </c>
      <c r="J56" s="10"/>
      <c r="K56" s="11"/>
      <c r="L56" s="12"/>
      <c r="M56" s="22">
        <f t="shared" si="6"/>
        <v>1570.6</v>
      </c>
      <c r="N56" s="14">
        <f t="shared" si="0"/>
        <v>4925</v>
      </c>
      <c r="O56" s="5">
        <v>0.03</v>
      </c>
      <c r="P56" s="33">
        <f t="shared" si="1"/>
        <v>157.06</v>
      </c>
      <c r="Q56" s="33">
        <f t="shared" si="2"/>
        <v>169.62480000000002</v>
      </c>
    </row>
    <row r="57" spans="1:18" s="55" customFormat="1" x14ac:dyDescent="0.25">
      <c r="A57" s="5">
        <v>303</v>
      </c>
      <c r="B57" s="6" t="s">
        <v>129</v>
      </c>
      <c r="C57" s="7">
        <v>4000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3354.4</v>
      </c>
      <c r="I57" s="10"/>
      <c r="J57" s="10"/>
      <c r="K57" s="11"/>
      <c r="L57" s="12"/>
      <c r="M57" s="22">
        <f t="shared" ref="M57:M62" si="7">C57-H57-I57+L57-K57-J57</f>
        <v>645.59999999999991</v>
      </c>
      <c r="N57" s="14">
        <f t="shared" si="0"/>
        <v>4000</v>
      </c>
      <c r="O57" s="5">
        <v>0.03</v>
      </c>
      <c r="P57" s="33">
        <f t="shared" si="1"/>
        <v>64.559999999999988</v>
      </c>
      <c r="Q57" s="33">
        <f t="shared" si="2"/>
        <v>69.724799999999988</v>
      </c>
    </row>
    <row r="58" spans="1:18" s="55" customFormat="1" x14ac:dyDescent="0.25">
      <c r="A58" s="5">
        <v>304</v>
      </c>
      <c r="B58" s="6" t="s">
        <v>131</v>
      </c>
      <c r="C58" s="7">
        <v>4500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3354.2</v>
      </c>
      <c r="I58" s="10">
        <v>300</v>
      </c>
      <c r="J58" s="10">
        <v>70</v>
      </c>
      <c r="K58" s="11"/>
      <c r="L58" s="12"/>
      <c r="M58" s="22">
        <f t="shared" si="7"/>
        <v>775.80000000000018</v>
      </c>
      <c r="N58" s="14">
        <f t="shared" si="0"/>
        <v>4130</v>
      </c>
      <c r="O58" s="5">
        <v>0.03</v>
      </c>
      <c r="P58" s="33">
        <f t="shared" si="1"/>
        <v>77.580000000000027</v>
      </c>
      <c r="Q58" s="33">
        <f t="shared" si="2"/>
        <v>83.786400000000029</v>
      </c>
    </row>
    <row r="59" spans="1:18" s="55" customFormat="1" x14ac:dyDescent="0.25">
      <c r="A59" s="5">
        <v>306</v>
      </c>
      <c r="B59" s="6" t="s">
        <v>136</v>
      </c>
      <c r="C59" s="7">
        <v>4000</v>
      </c>
      <c r="D59" s="7">
        <v>419.88</v>
      </c>
      <c r="E59" s="8">
        <f t="shared" si="3"/>
        <v>2519.2799999999997</v>
      </c>
      <c r="F59" s="8">
        <f t="shared" si="4"/>
        <v>419.88</v>
      </c>
      <c r="G59" s="9">
        <f t="shared" si="5"/>
        <v>2939.16</v>
      </c>
      <c r="H59" s="115">
        <v>3354.4</v>
      </c>
      <c r="I59" s="10"/>
      <c r="J59" s="10">
        <v>70</v>
      </c>
      <c r="K59" s="11"/>
      <c r="L59" s="12"/>
      <c r="M59" s="22">
        <f t="shared" si="7"/>
        <v>575.59999999999991</v>
      </c>
      <c r="N59" s="14">
        <f t="shared" si="0"/>
        <v>3930</v>
      </c>
      <c r="O59" s="5">
        <v>0.03</v>
      </c>
      <c r="P59" s="33">
        <f t="shared" si="1"/>
        <v>57.559999999999995</v>
      </c>
      <c r="Q59" s="33">
        <f t="shared" si="2"/>
        <v>62.1648</v>
      </c>
    </row>
    <row r="60" spans="1:18" s="55" customFormat="1" x14ac:dyDescent="0.25">
      <c r="A60" s="5">
        <v>307</v>
      </c>
      <c r="B60" s="6" t="s">
        <v>140</v>
      </c>
      <c r="C60" s="7">
        <v>4000</v>
      </c>
      <c r="D60" s="7">
        <v>419.88</v>
      </c>
      <c r="E60" s="8">
        <f t="shared" si="3"/>
        <v>2519.2799999999997</v>
      </c>
      <c r="F60" s="8">
        <f t="shared" si="4"/>
        <v>419.88</v>
      </c>
      <c r="G60" s="9">
        <f t="shared" si="5"/>
        <v>2939.16</v>
      </c>
      <c r="H60" s="115">
        <v>3354.4</v>
      </c>
      <c r="I60" s="10">
        <v>375</v>
      </c>
      <c r="J60" s="10">
        <v>175</v>
      </c>
      <c r="K60" s="11"/>
      <c r="L60" s="12"/>
      <c r="M60" s="22">
        <f t="shared" si="7"/>
        <v>95.599999999999909</v>
      </c>
      <c r="N60" s="14">
        <f t="shared" si="0"/>
        <v>3450</v>
      </c>
      <c r="O60" s="5">
        <v>0.03</v>
      </c>
      <c r="P60" s="33">
        <f t="shared" si="1"/>
        <v>9.5599999999999916</v>
      </c>
      <c r="Q60" s="33">
        <f t="shared" si="2"/>
        <v>10.324799999999991</v>
      </c>
    </row>
    <row r="61" spans="1:18" s="55" customFormat="1" x14ac:dyDescent="0.25">
      <c r="A61" s="5">
        <v>308</v>
      </c>
      <c r="B61" s="6" t="s">
        <v>138</v>
      </c>
      <c r="C61" s="7">
        <v>2700</v>
      </c>
      <c r="D61" s="7">
        <v>420.88</v>
      </c>
      <c r="E61" s="8">
        <f t="shared" si="3"/>
        <v>2525.2799999999997</v>
      </c>
      <c r="F61" s="8">
        <f t="shared" si="4"/>
        <v>419.88</v>
      </c>
      <c r="G61" s="9">
        <f t="shared" si="5"/>
        <v>2945.16</v>
      </c>
      <c r="H61" s="115">
        <v>2560</v>
      </c>
      <c r="I61" s="10"/>
      <c r="J61" s="10">
        <v>140</v>
      </c>
      <c r="K61" s="11"/>
      <c r="L61" s="12"/>
      <c r="M61" s="22">
        <f t="shared" si="7"/>
        <v>0</v>
      </c>
      <c r="N61" s="14">
        <f t="shared" si="0"/>
        <v>2560</v>
      </c>
      <c r="O61" s="5">
        <v>0.03</v>
      </c>
      <c r="P61" s="33">
        <f t="shared" si="1"/>
        <v>0</v>
      </c>
      <c r="Q61" s="33">
        <f t="shared" si="2"/>
        <v>0</v>
      </c>
    </row>
    <row r="62" spans="1:18" s="55" customFormat="1" x14ac:dyDescent="0.25">
      <c r="A62" s="5">
        <v>309</v>
      </c>
      <c r="B62" s="6" t="s">
        <v>143</v>
      </c>
      <c r="C62" s="7">
        <v>4000</v>
      </c>
      <c r="D62" s="7">
        <v>419.88</v>
      </c>
      <c r="E62" s="8">
        <f t="shared" si="3"/>
        <v>2519.2799999999997</v>
      </c>
      <c r="F62" s="8">
        <f t="shared" si="4"/>
        <v>419.88</v>
      </c>
      <c r="G62" s="9">
        <f t="shared" si="5"/>
        <v>2939.16</v>
      </c>
      <c r="H62" s="115">
        <v>3354.2</v>
      </c>
      <c r="I62" s="10"/>
      <c r="J62" s="10"/>
      <c r="K62" s="11"/>
      <c r="L62" s="12"/>
      <c r="M62" s="22">
        <f t="shared" si="7"/>
        <v>645.80000000000018</v>
      </c>
      <c r="N62" s="14">
        <f t="shared" si="0"/>
        <v>4000</v>
      </c>
      <c r="O62" s="5">
        <v>0.03</v>
      </c>
      <c r="P62" s="33">
        <f t="shared" si="1"/>
        <v>64.580000000000027</v>
      </c>
      <c r="Q62" s="33">
        <f t="shared" si="2"/>
        <v>69.746400000000037</v>
      </c>
    </row>
    <row r="63" spans="1:18" s="55" customFormat="1" ht="16.149999999999999" customHeight="1" thickBot="1" x14ac:dyDescent="0.3">
      <c r="A63"/>
      <c r="B63"/>
      <c r="C63"/>
      <c r="D63"/>
      <c r="E63"/>
      <c r="F63"/>
      <c r="G63"/>
      <c r="H63" s="117"/>
      <c r="I63"/>
      <c r="J63"/>
      <c r="K63"/>
      <c r="L63"/>
      <c r="M63"/>
      <c r="N63"/>
      <c r="O63"/>
      <c r="P63"/>
      <c r="Q63"/>
    </row>
    <row r="64" spans="1:18" ht="18" thickBot="1" x14ac:dyDescent="0.35">
      <c r="A64" s="23"/>
      <c r="B64" s="24"/>
      <c r="C64" s="25">
        <f>SUM(C4:C63)</f>
        <v>292575</v>
      </c>
      <c r="D64" s="25">
        <f t="shared" ref="D64:J64" si="8">SUM(D4:D63)</f>
        <v>24773.920000000006</v>
      </c>
      <c r="E64" s="25">
        <f t="shared" si="8"/>
        <v>146124.23999999996</v>
      </c>
      <c r="F64" s="25">
        <f t="shared" si="8"/>
        <v>24353.040000000005</v>
      </c>
      <c r="G64" s="25">
        <f t="shared" si="8"/>
        <v>170477.28000000014</v>
      </c>
      <c r="H64" s="118">
        <f>SUM(H4:H63)</f>
        <v>180638.39999999994</v>
      </c>
      <c r="I64" s="26">
        <f t="shared" si="8"/>
        <v>9150</v>
      </c>
      <c r="J64" s="26">
        <f t="shared" si="8"/>
        <v>2800</v>
      </c>
      <c r="K64" s="26">
        <f>SUM(K4:K63)</f>
        <v>19367.75</v>
      </c>
      <c r="L64" s="27">
        <f>SUM(L4:L63)</f>
        <v>1750</v>
      </c>
      <c r="M64" s="25">
        <f>SUM(M4:M63)</f>
        <v>82369.130000000077</v>
      </c>
      <c r="N64" s="25">
        <f>SUM(N4:N63)</f>
        <v>263007.52999999991</v>
      </c>
      <c r="P64" s="25">
        <f>SUM(P4:P63)</f>
        <v>8236.9130000000041</v>
      </c>
      <c r="Q64" s="25">
        <f>SUM(Q4:Q63)</f>
        <v>8895.8660400000026</v>
      </c>
      <c r="R64" s="55">
        <f>+N64+Q64</f>
        <v>271903.39603999991</v>
      </c>
    </row>
    <row r="65" spans="9:10" x14ac:dyDescent="0.25">
      <c r="I65" s="15">
        <f>I64/75</f>
        <v>122</v>
      </c>
      <c r="J65" s="15">
        <f>J64/35</f>
        <v>80</v>
      </c>
    </row>
  </sheetData>
  <autoFilter ref="A3:Q62" xr:uid="{00000000-0009-0000-0000-000019000000}"/>
  <mergeCells count="2">
    <mergeCell ref="A1:N1"/>
    <mergeCell ref="A2:N2"/>
  </mergeCells>
  <pageMargins left="0.25" right="0.25" top="0.75" bottom="0.75" header="0.3" footer="0.3"/>
  <pageSetup scale="49" orientation="landscape" r:id="rId1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D1043-3425-45A2-947F-74876043B616}">
  <sheetPr>
    <pageSetUpPr fitToPage="1"/>
  </sheetPr>
  <dimension ref="A1:R65"/>
  <sheetViews>
    <sheetView showGridLines="0" topLeftCell="A56" zoomScaleNormal="100" workbookViewId="0">
      <selection activeCell="I38" sqref="I38:J38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style="117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145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116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t="15.75" hidden="1" thickBot="1" x14ac:dyDescent="0.3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124">
        <v>0</v>
      </c>
      <c r="I4" s="125">
        <v>0</v>
      </c>
      <c r="J4" s="125">
        <v>0</v>
      </c>
      <c r="K4" s="77">
        <v>0</v>
      </c>
      <c r="L4" s="78"/>
      <c r="M4" s="79"/>
      <c r="N4" s="80">
        <f t="shared" ref="N4:N62" si="0">H4+M4</f>
        <v>0</v>
      </c>
      <c r="O4" s="81" t="s">
        <v>48</v>
      </c>
      <c r="P4" s="82">
        <f t="shared" ref="P4:P62" si="1">+M4*0.1</f>
        <v>0</v>
      </c>
      <c r="Q4" s="82">
        <f t="shared" ref="Q4:Q62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62" si="3">D5*6</f>
        <v>2519.2799999999997</v>
      </c>
      <c r="F5" s="8">
        <f t="shared" ref="F5:F62" si="4">$D$4</f>
        <v>419.88</v>
      </c>
      <c r="G5" s="9">
        <f t="shared" ref="G5:G62" si="5">E5+F5</f>
        <v>2939.16</v>
      </c>
      <c r="H5" s="37">
        <v>3354.4</v>
      </c>
      <c r="I5" s="10"/>
      <c r="J5" s="10"/>
      <c r="K5" s="119"/>
      <c r="L5" s="19"/>
      <c r="M5" s="13">
        <f>C5-H5-I5+L5-K5-J5</f>
        <v>645.59999999999991</v>
      </c>
      <c r="N5" s="14">
        <f t="shared" si="0"/>
        <v>4000</v>
      </c>
      <c r="O5" s="29" t="s">
        <v>47</v>
      </c>
      <c r="P5" s="33">
        <f t="shared" si="1"/>
        <v>64.559999999999988</v>
      </c>
      <c r="Q5" s="33">
        <f t="shared" si="2"/>
        <v>69.724799999999988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7">
        <v>3354.2</v>
      </c>
      <c r="I6" s="10">
        <v>150</v>
      </c>
      <c r="J6" s="10">
        <v>35</v>
      </c>
      <c r="K6" s="120"/>
      <c r="L6" s="19"/>
      <c r="M6" s="13">
        <f>C6-H6-I6+L6-K6-J6</f>
        <v>11460.8</v>
      </c>
      <c r="N6" s="14">
        <f>H6+M6</f>
        <v>14815</v>
      </c>
      <c r="O6" s="30" t="s">
        <v>118</v>
      </c>
      <c r="P6" s="33">
        <f t="shared" si="1"/>
        <v>1146.08</v>
      </c>
      <c r="Q6" s="33">
        <f t="shared" si="2"/>
        <v>1237.7664</v>
      </c>
    </row>
    <row r="7" spans="1:17" ht="15" customHeight="1" x14ac:dyDescent="0.25">
      <c r="A7" s="36">
        <v>24</v>
      </c>
      <c r="B7" s="6" t="s">
        <v>16</v>
      </c>
      <c r="C7" s="7">
        <v>5000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7">
        <v>3354.4</v>
      </c>
      <c r="I7" s="10">
        <v>375</v>
      </c>
      <c r="J7" s="10">
        <v>105</v>
      </c>
      <c r="K7" s="120"/>
      <c r="L7" s="19"/>
      <c r="M7" s="13">
        <f t="shared" ref="M7:M56" si="6">C7-H7-I7+L7-K7-J7</f>
        <v>1165.5999999999999</v>
      </c>
      <c r="N7" s="14">
        <f t="shared" si="0"/>
        <v>4520</v>
      </c>
      <c r="O7" s="36" t="s">
        <v>118</v>
      </c>
      <c r="P7" s="33">
        <f t="shared" si="1"/>
        <v>116.56</v>
      </c>
      <c r="Q7" s="33">
        <f t="shared" si="2"/>
        <v>125.88480000000001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3354.4</v>
      </c>
      <c r="I8" s="10">
        <v>300</v>
      </c>
      <c r="J8" s="10">
        <v>70</v>
      </c>
      <c r="K8" s="119"/>
      <c r="L8" s="12"/>
      <c r="M8" s="13">
        <f t="shared" si="6"/>
        <v>775.59999999999991</v>
      </c>
      <c r="N8" s="14">
        <f t="shared" si="0"/>
        <v>4130</v>
      </c>
      <c r="O8" s="30" t="s">
        <v>118</v>
      </c>
      <c r="P8" s="33">
        <f t="shared" si="1"/>
        <v>77.56</v>
      </c>
      <c r="Q8" s="33">
        <f t="shared" si="2"/>
        <v>83.764800000000008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3120.4</v>
      </c>
      <c r="I9" s="10">
        <v>300</v>
      </c>
      <c r="J9" s="10">
        <v>175</v>
      </c>
      <c r="K9" s="120">
        <v>293.92</v>
      </c>
      <c r="L9" s="12"/>
      <c r="M9" s="22">
        <f t="shared" si="6"/>
        <v>110.67999999999989</v>
      </c>
      <c r="N9" s="14">
        <f t="shared" si="0"/>
        <v>3231.08</v>
      </c>
      <c r="O9" s="30" t="s">
        <v>47</v>
      </c>
      <c r="P9" s="33">
        <f t="shared" si="1"/>
        <v>11.067999999999991</v>
      </c>
      <c r="Q9" s="33">
        <f t="shared" si="2"/>
        <v>11.953439999999992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3354.2</v>
      </c>
      <c r="I10" s="10"/>
      <c r="J10" s="10"/>
      <c r="K10" s="121"/>
      <c r="L10" s="19"/>
      <c r="M10" s="22">
        <f t="shared" si="6"/>
        <v>645.80000000000018</v>
      </c>
      <c r="N10" s="14">
        <f t="shared" si="0"/>
        <v>4000</v>
      </c>
      <c r="O10" s="30" t="s">
        <v>49</v>
      </c>
      <c r="P10" s="33">
        <f t="shared" si="1"/>
        <v>64.580000000000027</v>
      </c>
      <c r="Q10" s="33">
        <f t="shared" si="2"/>
        <v>69.746400000000037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150</v>
      </c>
      <c r="J11" s="10"/>
      <c r="K11" s="119"/>
      <c r="L11" s="12"/>
      <c r="M11" s="13">
        <f t="shared" si="6"/>
        <v>3495.6</v>
      </c>
      <c r="N11" s="14">
        <f t="shared" si="0"/>
        <v>6850</v>
      </c>
      <c r="O11" s="30" t="s">
        <v>118</v>
      </c>
      <c r="P11" s="33">
        <f t="shared" si="1"/>
        <v>349.56</v>
      </c>
      <c r="Q11" s="33">
        <f t="shared" si="2"/>
        <v>377.52480000000003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3354.2</v>
      </c>
      <c r="I12" s="10">
        <v>375</v>
      </c>
      <c r="J12" s="10"/>
      <c r="K12" s="119"/>
      <c r="L12" s="12"/>
      <c r="M12" s="13">
        <f t="shared" si="6"/>
        <v>1270.8000000000002</v>
      </c>
      <c r="N12" s="14">
        <f t="shared" si="0"/>
        <v>4625</v>
      </c>
      <c r="O12" s="30">
        <v>0.03</v>
      </c>
      <c r="P12" s="33">
        <f t="shared" si="1"/>
        <v>127.08000000000003</v>
      </c>
      <c r="Q12" s="33">
        <f t="shared" si="2"/>
        <v>137.24640000000005</v>
      </c>
    </row>
    <row r="13" spans="1:17" ht="15" customHeight="1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3170.2</v>
      </c>
      <c r="I13" s="10">
        <v>225</v>
      </c>
      <c r="J13" s="10">
        <v>105</v>
      </c>
      <c r="K13" s="120"/>
      <c r="L13" s="19"/>
      <c r="M13" s="13">
        <f>C13-H13-I13+L13-K13-J13+0.2</f>
        <v>1.819100425848319E-13</v>
      </c>
      <c r="N13" s="14">
        <f t="shared" si="0"/>
        <v>3170.2</v>
      </c>
      <c r="O13" s="30">
        <v>0.03</v>
      </c>
      <c r="P13" s="33">
        <f t="shared" si="1"/>
        <v>1.8191004258483192E-14</v>
      </c>
      <c r="Q13" s="33">
        <f t="shared" si="2"/>
        <v>1.9646284599161848E-14</v>
      </c>
    </row>
    <row r="14" spans="1:17" x14ac:dyDescent="0.25">
      <c r="A14" s="36">
        <v>149</v>
      </c>
      <c r="B14" s="6" t="s">
        <v>23</v>
      </c>
      <c r="C14" s="7">
        <v>4000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7">
        <v>3354.2</v>
      </c>
      <c r="I14" s="10">
        <v>225</v>
      </c>
      <c r="J14" s="10"/>
      <c r="K14" s="120"/>
      <c r="L14" s="19">
        <v>571.41999999999996</v>
      </c>
      <c r="M14" s="22">
        <f>C14-H14-I14+L14-K14-J14</f>
        <v>992.22000000000014</v>
      </c>
      <c r="N14" s="14">
        <f t="shared" si="0"/>
        <v>4346.42</v>
      </c>
      <c r="O14" s="36" t="s">
        <v>50</v>
      </c>
      <c r="P14" s="33">
        <f t="shared" si="1"/>
        <v>99.222000000000023</v>
      </c>
      <c r="Q14" s="33">
        <f t="shared" si="2"/>
        <v>107.15976000000003</v>
      </c>
    </row>
    <row r="15" spans="1:17" x14ac:dyDescent="0.25">
      <c r="A15" s="5">
        <v>150</v>
      </c>
      <c r="B15" s="6" t="s">
        <v>24</v>
      </c>
      <c r="C15" s="7">
        <v>5000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3354.2</v>
      </c>
      <c r="I15" s="10"/>
      <c r="J15" s="10"/>
      <c r="K15" s="120"/>
      <c r="L15" s="19"/>
      <c r="M15" s="13">
        <f t="shared" si="6"/>
        <v>1645.8000000000002</v>
      </c>
      <c r="N15" s="14">
        <f t="shared" si="0"/>
        <v>5000</v>
      </c>
      <c r="O15" s="30" t="s">
        <v>47</v>
      </c>
      <c r="P15" s="33">
        <f t="shared" si="1"/>
        <v>164.58000000000004</v>
      </c>
      <c r="Q15" s="33">
        <f t="shared" si="2"/>
        <v>177.74640000000005</v>
      </c>
    </row>
    <row r="16" spans="1:17" x14ac:dyDescent="0.25">
      <c r="A16" s="5">
        <v>752</v>
      </c>
      <c r="B16" s="6" t="s">
        <v>25</v>
      </c>
      <c r="C16" s="7">
        <v>4500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3354.2</v>
      </c>
      <c r="I16" s="10">
        <v>225</v>
      </c>
      <c r="J16" s="10">
        <v>105</v>
      </c>
      <c r="K16" s="120"/>
      <c r="L16" s="12"/>
      <c r="M16" s="13">
        <f>C16-H16-I16+L16-K16-J16</f>
        <v>815.80000000000018</v>
      </c>
      <c r="N16" s="14">
        <f t="shared" si="0"/>
        <v>4170</v>
      </c>
      <c r="O16" s="29">
        <v>0.03</v>
      </c>
      <c r="P16" s="33">
        <f t="shared" si="1"/>
        <v>81.580000000000027</v>
      </c>
      <c r="Q16" s="33">
        <f t="shared" si="2"/>
        <v>88.106400000000036</v>
      </c>
    </row>
    <row r="17" spans="1:17" s="55" customFormat="1" x14ac:dyDescent="0.25">
      <c r="A17" s="5">
        <v>162</v>
      </c>
      <c r="B17" s="6" t="s">
        <v>27</v>
      </c>
      <c r="C17" s="7">
        <v>4500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3120.4</v>
      </c>
      <c r="I17" s="10">
        <v>150</v>
      </c>
      <c r="J17" s="10">
        <v>105</v>
      </c>
      <c r="K17" s="120">
        <v>293.92</v>
      </c>
      <c r="L17" s="19"/>
      <c r="M17" s="13">
        <f t="shared" si="6"/>
        <v>830.67999999999984</v>
      </c>
      <c r="N17" s="14">
        <f t="shared" si="0"/>
        <v>3951.08</v>
      </c>
      <c r="O17" s="29">
        <v>0.03</v>
      </c>
      <c r="P17" s="33">
        <f t="shared" si="1"/>
        <v>83.067999999999984</v>
      </c>
      <c r="Q17" s="33">
        <f t="shared" si="2"/>
        <v>89.713439999999991</v>
      </c>
    </row>
    <row r="18" spans="1:17" s="55" customFormat="1" x14ac:dyDescent="0.25">
      <c r="A18" s="5">
        <v>174</v>
      </c>
      <c r="B18" s="6" t="s">
        <v>28</v>
      </c>
      <c r="C18" s="7">
        <v>10000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2376</v>
      </c>
      <c r="I18" s="10"/>
      <c r="J18" s="10"/>
      <c r="K18" s="119">
        <v>908.03</v>
      </c>
      <c r="L18" s="12"/>
      <c r="M18" s="13">
        <f t="shared" si="6"/>
        <v>6715.97</v>
      </c>
      <c r="N18" s="14">
        <f t="shared" si="0"/>
        <v>9091.9700000000012</v>
      </c>
      <c r="O18" s="29" t="s">
        <v>50</v>
      </c>
      <c r="P18" s="33">
        <f t="shared" si="1"/>
        <v>671.59700000000009</v>
      </c>
      <c r="Q18" s="33">
        <f t="shared" si="2"/>
        <v>725.3247600000002</v>
      </c>
    </row>
    <row r="19" spans="1:17" s="55" customFormat="1" x14ac:dyDescent="0.25">
      <c r="A19" s="5">
        <v>184</v>
      </c>
      <c r="B19" s="6" t="s">
        <v>29</v>
      </c>
      <c r="C19" s="7">
        <v>8000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3354.2</v>
      </c>
      <c r="I19" s="10">
        <v>375</v>
      </c>
      <c r="J19" s="10">
        <v>140</v>
      </c>
      <c r="K19" s="120"/>
      <c r="L19" s="19"/>
      <c r="M19" s="13">
        <f t="shared" si="6"/>
        <v>4130.8</v>
      </c>
      <c r="N19" s="14">
        <f t="shared" si="0"/>
        <v>7485</v>
      </c>
      <c r="O19" s="29">
        <v>0.03</v>
      </c>
      <c r="P19" s="33">
        <f t="shared" si="1"/>
        <v>413.08000000000004</v>
      </c>
      <c r="Q19" s="33">
        <f t="shared" si="2"/>
        <v>446.12640000000005</v>
      </c>
    </row>
    <row r="20" spans="1:17" s="55" customFormat="1" ht="13.5" customHeight="1" x14ac:dyDescent="0.25">
      <c r="A20" s="5">
        <v>204</v>
      </c>
      <c r="B20" s="6" t="s">
        <v>33</v>
      </c>
      <c r="C20" s="7">
        <v>5000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3354.4</v>
      </c>
      <c r="I20" s="10">
        <v>150</v>
      </c>
      <c r="J20" s="10">
        <v>70</v>
      </c>
      <c r="K20" s="119"/>
      <c r="L20" s="19"/>
      <c r="M20" s="13">
        <f t="shared" si="6"/>
        <v>1425.6</v>
      </c>
      <c r="N20" s="14">
        <f t="shared" si="0"/>
        <v>4780</v>
      </c>
      <c r="O20" s="29" t="s">
        <v>118</v>
      </c>
      <c r="P20" s="33">
        <f t="shared" si="1"/>
        <v>142.56</v>
      </c>
      <c r="Q20" s="33">
        <f t="shared" si="2"/>
        <v>153.96480000000003</v>
      </c>
    </row>
    <row r="21" spans="1:17" s="55" customFormat="1" x14ac:dyDescent="0.25">
      <c r="A21" s="5">
        <v>213</v>
      </c>
      <c r="B21" s="6" t="s">
        <v>34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3354.4</v>
      </c>
      <c r="I21" s="10"/>
      <c r="J21" s="10"/>
      <c r="K21" s="119"/>
      <c r="L21" s="12"/>
      <c r="M21" s="13">
        <f t="shared" si="6"/>
        <v>645.59999999999991</v>
      </c>
      <c r="N21" s="14">
        <f t="shared" si="0"/>
        <v>4000</v>
      </c>
      <c r="O21" s="29" t="s">
        <v>50</v>
      </c>
      <c r="P21" s="33">
        <f t="shared" si="1"/>
        <v>64.559999999999988</v>
      </c>
      <c r="Q21" s="33">
        <f t="shared" si="2"/>
        <v>69.724799999999988</v>
      </c>
    </row>
    <row r="22" spans="1:17" s="55" customFormat="1" x14ac:dyDescent="0.25">
      <c r="A22" s="5">
        <v>215</v>
      </c>
      <c r="B22" s="6" t="s">
        <v>35</v>
      </c>
      <c r="C22" s="7">
        <v>5000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3354.2</v>
      </c>
      <c r="I22" s="10">
        <v>150</v>
      </c>
      <c r="J22" s="10">
        <v>70</v>
      </c>
      <c r="K22" s="120"/>
      <c r="L22" s="19"/>
      <c r="M22" s="13">
        <f t="shared" si="6"/>
        <v>1425.8000000000002</v>
      </c>
      <c r="N22" s="14">
        <f t="shared" si="0"/>
        <v>4780</v>
      </c>
      <c r="O22" s="29" t="s">
        <v>118</v>
      </c>
      <c r="P22" s="33">
        <f t="shared" si="1"/>
        <v>142.58000000000001</v>
      </c>
      <c r="Q22" s="33">
        <f t="shared" si="2"/>
        <v>153.98640000000003</v>
      </c>
    </row>
    <row r="23" spans="1:17" s="55" customFormat="1" x14ac:dyDescent="0.25">
      <c r="A23" s="5">
        <v>218</v>
      </c>
      <c r="B23" s="6" t="s">
        <v>36</v>
      </c>
      <c r="C23" s="7">
        <v>3500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3354.4</v>
      </c>
      <c r="I23" s="10"/>
      <c r="J23" s="10"/>
      <c r="K23" s="122"/>
      <c r="L23" s="12"/>
      <c r="M23" s="13">
        <f t="shared" si="6"/>
        <v>145.59999999999991</v>
      </c>
      <c r="N23" s="14">
        <f t="shared" si="0"/>
        <v>3500</v>
      </c>
      <c r="O23" s="29" t="s">
        <v>49</v>
      </c>
      <c r="P23" s="33">
        <f t="shared" si="1"/>
        <v>14.559999999999992</v>
      </c>
      <c r="Q23" s="33">
        <f t="shared" si="2"/>
        <v>15.724799999999991</v>
      </c>
    </row>
    <row r="24" spans="1:17" s="55" customFormat="1" x14ac:dyDescent="0.25">
      <c r="A24" s="36">
        <v>220</v>
      </c>
      <c r="B24" s="6" t="s">
        <v>37</v>
      </c>
      <c r="C24" s="7">
        <v>4000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2744</v>
      </c>
      <c r="I24" s="10">
        <v>150</v>
      </c>
      <c r="J24" s="10"/>
      <c r="K24" s="123">
        <f>610.33+480</f>
        <v>1090.33</v>
      </c>
      <c r="L24" s="12"/>
      <c r="M24" s="22">
        <f>C24-H24-I24+L24-K24-J24</f>
        <v>15.670000000000073</v>
      </c>
      <c r="N24" s="14">
        <f t="shared" si="0"/>
        <v>2759.67</v>
      </c>
      <c r="O24" s="36">
        <v>0.03</v>
      </c>
      <c r="P24" s="33">
        <f t="shared" si="1"/>
        <v>1.5670000000000073</v>
      </c>
      <c r="Q24" s="33">
        <f t="shared" si="2"/>
        <v>1.6923600000000081</v>
      </c>
    </row>
    <row r="25" spans="1:17" s="55" customFormat="1" x14ac:dyDescent="0.25">
      <c r="A25" s="5">
        <v>221</v>
      </c>
      <c r="B25" s="6" t="s">
        <v>38</v>
      </c>
      <c r="C25" s="7">
        <v>5000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7">
        <v>3354.2</v>
      </c>
      <c r="I25" s="10">
        <v>375</v>
      </c>
      <c r="J25" s="10"/>
      <c r="K25" s="120"/>
      <c r="L25" s="12"/>
      <c r="M25" s="13">
        <f t="shared" si="6"/>
        <v>1270.8000000000002</v>
      </c>
      <c r="N25" s="14">
        <f t="shared" si="0"/>
        <v>4625</v>
      </c>
      <c r="O25" s="29">
        <v>0.03</v>
      </c>
      <c r="P25" s="33">
        <f t="shared" si="1"/>
        <v>127.08000000000003</v>
      </c>
      <c r="Q25" s="33">
        <f t="shared" si="2"/>
        <v>137.24640000000005</v>
      </c>
    </row>
    <row r="26" spans="1:17" s="55" customFormat="1" x14ac:dyDescent="0.25">
      <c r="A26" s="5">
        <v>222</v>
      </c>
      <c r="B26" s="6" t="s">
        <v>39</v>
      </c>
      <c r="C26" s="7">
        <v>8000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7">
        <v>2681.4</v>
      </c>
      <c r="I26" s="10">
        <v>375</v>
      </c>
      <c r="J26" s="10"/>
      <c r="K26" s="123">
        <f>1538.46</f>
        <v>1538.46</v>
      </c>
      <c r="L26" s="19"/>
      <c r="M26" s="13">
        <f t="shared" si="6"/>
        <v>3405.1400000000003</v>
      </c>
      <c r="N26" s="14">
        <f t="shared" si="0"/>
        <v>6086.5400000000009</v>
      </c>
      <c r="O26" s="29" t="s">
        <v>118</v>
      </c>
      <c r="P26" s="33">
        <f t="shared" si="1"/>
        <v>340.51400000000007</v>
      </c>
      <c r="Q26" s="33">
        <f t="shared" si="2"/>
        <v>367.75512000000009</v>
      </c>
    </row>
    <row r="27" spans="1:17" s="55" customFormat="1" x14ac:dyDescent="0.25">
      <c r="A27" s="5">
        <v>227</v>
      </c>
      <c r="B27" s="6" t="s">
        <v>41</v>
      </c>
      <c r="C27" s="7">
        <v>6000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3354.2</v>
      </c>
      <c r="I27" s="10">
        <v>375</v>
      </c>
      <c r="J27" s="10">
        <v>70</v>
      </c>
      <c r="K27" s="120"/>
      <c r="L27" s="12"/>
      <c r="M27" s="13">
        <f t="shared" si="6"/>
        <v>2200.8000000000002</v>
      </c>
      <c r="N27" s="14">
        <f t="shared" si="0"/>
        <v>5555</v>
      </c>
      <c r="O27" s="29" t="s">
        <v>118</v>
      </c>
      <c r="P27" s="33">
        <f t="shared" si="1"/>
        <v>220.08000000000004</v>
      </c>
      <c r="Q27" s="33">
        <f t="shared" si="2"/>
        <v>237.68640000000005</v>
      </c>
    </row>
    <row r="28" spans="1:17" s="55" customFormat="1" x14ac:dyDescent="0.25">
      <c r="A28" s="5">
        <v>233</v>
      </c>
      <c r="B28" s="6" t="s">
        <v>42</v>
      </c>
      <c r="C28" s="7">
        <v>6250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3354.4</v>
      </c>
      <c r="I28" s="10">
        <v>375</v>
      </c>
      <c r="J28" s="10">
        <v>105</v>
      </c>
      <c r="K28" s="120"/>
      <c r="L28" s="19"/>
      <c r="M28" s="13">
        <f t="shared" si="6"/>
        <v>2415.6</v>
      </c>
      <c r="N28" s="14">
        <f t="shared" si="0"/>
        <v>5770</v>
      </c>
      <c r="O28" s="31" t="s">
        <v>118</v>
      </c>
      <c r="P28" s="33">
        <f t="shared" si="1"/>
        <v>241.56</v>
      </c>
      <c r="Q28" s="33">
        <f t="shared" si="2"/>
        <v>260.88480000000004</v>
      </c>
    </row>
    <row r="29" spans="1:17" s="55" customFormat="1" x14ac:dyDescent="0.25">
      <c r="A29" s="5">
        <v>244</v>
      </c>
      <c r="B29" s="6" t="s">
        <v>44</v>
      </c>
      <c r="C29" s="7">
        <v>5000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3354.4</v>
      </c>
      <c r="I29" s="10"/>
      <c r="J29" s="10"/>
      <c r="K29" s="120"/>
      <c r="L29" s="12"/>
      <c r="M29" s="13">
        <f>C29-H29-I29+L29-K29-J29</f>
        <v>1645.6</v>
      </c>
      <c r="N29" s="14">
        <f t="shared" si="0"/>
        <v>5000</v>
      </c>
      <c r="O29" s="29">
        <v>0.03</v>
      </c>
      <c r="P29" s="33">
        <f t="shared" si="1"/>
        <v>164.56</v>
      </c>
      <c r="Q29" s="33">
        <f t="shared" si="2"/>
        <v>177.72480000000002</v>
      </c>
    </row>
    <row r="30" spans="1:17" s="55" customFormat="1" x14ac:dyDescent="0.25">
      <c r="A30" s="5">
        <v>245</v>
      </c>
      <c r="B30" s="6" t="s">
        <v>45</v>
      </c>
      <c r="C30" s="7">
        <v>5000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3354.2</v>
      </c>
      <c r="I30" s="10"/>
      <c r="J30" s="10"/>
      <c r="K30" s="119"/>
      <c r="L30" s="19"/>
      <c r="M30" s="13">
        <f t="shared" si="6"/>
        <v>1645.8000000000002</v>
      </c>
      <c r="N30" s="14">
        <f>H30+M30</f>
        <v>5000</v>
      </c>
      <c r="O30" s="34" t="s">
        <v>47</v>
      </c>
      <c r="P30" s="33">
        <f t="shared" si="1"/>
        <v>164.58000000000004</v>
      </c>
      <c r="Q30" s="33">
        <f t="shared" si="2"/>
        <v>177.74640000000005</v>
      </c>
    </row>
    <row r="31" spans="1:17" s="55" customFormat="1" x14ac:dyDescent="0.25">
      <c r="A31" s="5">
        <v>252</v>
      </c>
      <c r="B31" s="6" t="s">
        <v>53</v>
      </c>
      <c r="C31" s="7">
        <v>5000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3354.4</v>
      </c>
      <c r="I31" s="10">
        <v>300</v>
      </c>
      <c r="J31" s="10"/>
      <c r="K31" s="120"/>
      <c r="L31" s="12"/>
      <c r="M31" s="22">
        <f>C31-H31-I31+L31-K31-J31</f>
        <v>1345.6</v>
      </c>
      <c r="N31" s="14">
        <f t="shared" si="0"/>
        <v>4700</v>
      </c>
      <c r="O31" s="5">
        <v>0.03</v>
      </c>
      <c r="P31" s="33">
        <f t="shared" si="1"/>
        <v>134.56</v>
      </c>
      <c r="Q31" s="33">
        <f t="shared" si="2"/>
        <v>145.32480000000001</v>
      </c>
    </row>
    <row r="32" spans="1:17" s="55" customFormat="1" x14ac:dyDescent="0.25">
      <c r="A32" s="5">
        <v>260</v>
      </c>
      <c r="B32" s="6" t="s">
        <v>54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3354.4</v>
      </c>
      <c r="I32" s="10">
        <v>150</v>
      </c>
      <c r="J32" s="10">
        <v>35</v>
      </c>
      <c r="K32" s="119"/>
      <c r="L32" s="19"/>
      <c r="M32" s="13">
        <f t="shared" si="6"/>
        <v>1460.6</v>
      </c>
      <c r="N32" s="14">
        <f t="shared" si="0"/>
        <v>4815</v>
      </c>
      <c r="O32" s="5" t="s">
        <v>48</v>
      </c>
      <c r="P32" s="33">
        <f t="shared" si="1"/>
        <v>146.06</v>
      </c>
      <c r="Q32" s="33">
        <f t="shared" si="2"/>
        <v>157.74480000000003</v>
      </c>
    </row>
    <row r="33" spans="1:17" s="55" customFormat="1" x14ac:dyDescent="0.25">
      <c r="A33" s="5">
        <v>261</v>
      </c>
      <c r="B33" s="6" t="s">
        <v>55</v>
      </c>
      <c r="C33" s="7">
        <v>4000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2371</v>
      </c>
      <c r="I33" s="10">
        <v>300</v>
      </c>
      <c r="J33" s="10">
        <v>105</v>
      </c>
      <c r="K33" s="123">
        <v>913.35</v>
      </c>
      <c r="L33" s="19"/>
      <c r="M33" s="13">
        <f t="shared" si="6"/>
        <v>310.64999999999998</v>
      </c>
      <c r="N33" s="14">
        <f t="shared" si="0"/>
        <v>2681.65</v>
      </c>
      <c r="O33" s="5">
        <v>0.03</v>
      </c>
      <c r="P33" s="33">
        <f t="shared" si="1"/>
        <v>31.064999999999998</v>
      </c>
      <c r="Q33" s="33">
        <f t="shared" si="2"/>
        <v>33.550199999999997</v>
      </c>
    </row>
    <row r="34" spans="1:17" s="55" customFormat="1" x14ac:dyDescent="0.25">
      <c r="A34" s="5">
        <v>267</v>
      </c>
      <c r="B34" s="6" t="s">
        <v>56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2614.1999999999998</v>
      </c>
      <c r="I34" s="10">
        <v>375</v>
      </c>
      <c r="J34" s="10">
        <v>105</v>
      </c>
      <c r="K34" s="123">
        <f>435.88+293.92</f>
        <v>729.8</v>
      </c>
      <c r="L34" s="12"/>
      <c r="M34" s="13">
        <f t="shared" si="6"/>
        <v>1176.0000000000002</v>
      </c>
      <c r="N34" s="14">
        <f t="shared" si="0"/>
        <v>3790.2</v>
      </c>
      <c r="O34" s="5" t="s">
        <v>47</v>
      </c>
      <c r="P34" s="33">
        <f t="shared" si="1"/>
        <v>117.60000000000002</v>
      </c>
      <c r="Q34" s="33">
        <f t="shared" si="2"/>
        <v>127.00800000000004</v>
      </c>
    </row>
    <row r="35" spans="1:17" s="55" customFormat="1" x14ac:dyDescent="0.25">
      <c r="A35" s="5">
        <v>269</v>
      </c>
      <c r="B35" s="6" t="s">
        <v>58</v>
      </c>
      <c r="C35" s="7">
        <v>7000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2879</v>
      </c>
      <c r="I35" s="10"/>
      <c r="J35" s="10"/>
      <c r="K35" s="120">
        <v>587.84</v>
      </c>
      <c r="L35" s="19"/>
      <c r="M35" s="13">
        <f t="shared" si="6"/>
        <v>3533.16</v>
      </c>
      <c r="N35" s="14">
        <f>H35+M35</f>
        <v>6412.16</v>
      </c>
      <c r="O35" s="5" t="s">
        <v>118</v>
      </c>
      <c r="P35" s="33">
        <f t="shared" si="1"/>
        <v>353.31600000000003</v>
      </c>
      <c r="Q35" s="33">
        <f t="shared" si="2"/>
        <v>381.58128000000005</v>
      </c>
    </row>
    <row r="36" spans="1:17" s="55" customFormat="1" x14ac:dyDescent="0.25">
      <c r="A36" s="5">
        <v>271</v>
      </c>
      <c r="B36" s="6" t="s">
        <v>59</v>
      </c>
      <c r="C36" s="7">
        <v>4000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3354.4</v>
      </c>
      <c r="I36" s="10">
        <v>225</v>
      </c>
      <c r="J36" s="10">
        <v>35</v>
      </c>
      <c r="K36" s="120"/>
      <c r="L36" s="19"/>
      <c r="M36" s="22">
        <f t="shared" si="6"/>
        <v>385.59999999999991</v>
      </c>
      <c r="N36" s="14">
        <f t="shared" si="0"/>
        <v>3740</v>
      </c>
      <c r="O36" s="5">
        <v>0.03</v>
      </c>
      <c r="P36" s="33">
        <f t="shared" si="1"/>
        <v>38.559999999999995</v>
      </c>
      <c r="Q36" s="33">
        <f t="shared" si="2"/>
        <v>41.644799999999996</v>
      </c>
    </row>
    <row r="37" spans="1:17" s="55" customFormat="1" x14ac:dyDescent="0.25">
      <c r="A37" s="5">
        <v>275</v>
      </c>
      <c r="B37" s="6" t="s">
        <v>60</v>
      </c>
      <c r="C37" s="7">
        <v>3375</v>
      </c>
      <c r="D37" s="7">
        <v>419.88</v>
      </c>
      <c r="E37" s="8">
        <f t="shared" si="3"/>
        <v>2519.2799999999997</v>
      </c>
      <c r="F37" s="8">
        <f t="shared" si="4"/>
        <v>419.88</v>
      </c>
      <c r="G37" s="9">
        <f t="shared" si="5"/>
        <v>2939.16</v>
      </c>
      <c r="H37" s="37">
        <v>3354.4</v>
      </c>
      <c r="I37" s="10"/>
      <c r="J37" s="10"/>
      <c r="K37" s="120"/>
      <c r="L37" s="19"/>
      <c r="M37" s="13">
        <f t="shared" si="6"/>
        <v>20.599999999999909</v>
      </c>
      <c r="N37" s="14">
        <f>H37+M37</f>
        <v>3375</v>
      </c>
      <c r="O37" s="5">
        <v>0.03</v>
      </c>
      <c r="P37" s="33">
        <f>+M37*0.1</f>
        <v>2.0599999999999912</v>
      </c>
      <c r="Q37" s="33">
        <f>+P37*1.08</f>
        <v>2.2247999999999908</v>
      </c>
    </row>
    <row r="38" spans="1:17" s="55" customFormat="1" x14ac:dyDescent="0.25">
      <c r="A38" s="5">
        <v>276</v>
      </c>
      <c r="B38" s="6" t="s">
        <v>61</v>
      </c>
      <c r="C38" s="7">
        <v>5000</v>
      </c>
      <c r="D38" s="7">
        <v>419.88</v>
      </c>
      <c r="E38" s="8">
        <f t="shared" si="3"/>
        <v>2519.2799999999997</v>
      </c>
      <c r="F38" s="8">
        <f t="shared" si="4"/>
        <v>419.88</v>
      </c>
      <c r="G38" s="9">
        <f t="shared" si="5"/>
        <v>2939.16</v>
      </c>
      <c r="H38" s="37">
        <v>3354.4</v>
      </c>
      <c r="I38" s="10">
        <v>225</v>
      </c>
      <c r="J38" s="10">
        <v>105</v>
      </c>
      <c r="K38" s="119"/>
      <c r="L38" s="19"/>
      <c r="M38" s="13">
        <f t="shared" si="6"/>
        <v>1315.6</v>
      </c>
      <c r="N38" s="14">
        <f t="shared" si="0"/>
        <v>4670</v>
      </c>
      <c r="O38" s="5">
        <v>0.03</v>
      </c>
      <c r="P38" s="33">
        <f t="shared" si="1"/>
        <v>131.56</v>
      </c>
      <c r="Q38" s="33">
        <f t="shared" si="2"/>
        <v>142.0848</v>
      </c>
    </row>
    <row r="39" spans="1:17" s="55" customFormat="1" x14ac:dyDescent="0.25">
      <c r="A39" s="5">
        <v>279</v>
      </c>
      <c r="B39" s="6" t="s">
        <v>63</v>
      </c>
      <c r="C39" s="7">
        <v>4500</v>
      </c>
      <c r="D39" s="7">
        <v>419.88</v>
      </c>
      <c r="E39" s="8">
        <f t="shared" si="3"/>
        <v>2519.2799999999997</v>
      </c>
      <c r="F39" s="8">
        <f t="shared" si="4"/>
        <v>419.88</v>
      </c>
      <c r="G39" s="9">
        <f t="shared" si="5"/>
        <v>2939.16</v>
      </c>
      <c r="H39" s="37">
        <v>3120.4</v>
      </c>
      <c r="I39" s="10">
        <v>75</v>
      </c>
      <c r="J39" s="10">
        <v>35</v>
      </c>
      <c r="K39" s="120">
        <v>293.92</v>
      </c>
      <c r="L39" s="19"/>
      <c r="M39" s="22">
        <f t="shared" si="6"/>
        <v>975.67999999999984</v>
      </c>
      <c r="N39" s="14">
        <f t="shared" si="0"/>
        <v>4096.08</v>
      </c>
      <c r="O39" s="5" t="s">
        <v>118</v>
      </c>
      <c r="P39" s="33">
        <f t="shared" si="1"/>
        <v>97.567999999999984</v>
      </c>
      <c r="Q39" s="33">
        <f t="shared" si="2"/>
        <v>105.37343999999999</v>
      </c>
    </row>
    <row r="40" spans="1:17" s="55" customFormat="1" x14ac:dyDescent="0.25">
      <c r="A40" s="5">
        <v>280</v>
      </c>
      <c r="B40" s="6" t="s">
        <v>64</v>
      </c>
      <c r="C40" s="7">
        <v>5000</v>
      </c>
      <c r="D40" s="7">
        <v>419.88</v>
      </c>
      <c r="E40" s="8">
        <f t="shared" si="3"/>
        <v>2519.2799999999997</v>
      </c>
      <c r="F40" s="8">
        <f t="shared" si="4"/>
        <v>419.88</v>
      </c>
      <c r="G40" s="9">
        <f t="shared" si="5"/>
        <v>2939.16</v>
      </c>
      <c r="H40" s="37">
        <v>3354.2</v>
      </c>
      <c r="I40" s="10"/>
      <c r="J40" s="10"/>
      <c r="K40" s="119"/>
      <c r="L40" s="19"/>
      <c r="M40" s="13">
        <f t="shared" si="6"/>
        <v>1645.8000000000002</v>
      </c>
      <c r="N40" s="14">
        <f t="shared" si="0"/>
        <v>5000</v>
      </c>
      <c r="O40" s="5" t="s">
        <v>119</v>
      </c>
      <c r="P40" s="33">
        <f t="shared" si="1"/>
        <v>164.58000000000004</v>
      </c>
      <c r="Q40" s="33">
        <f t="shared" si="2"/>
        <v>177.74640000000005</v>
      </c>
    </row>
    <row r="41" spans="1:17" s="55" customFormat="1" x14ac:dyDescent="0.25">
      <c r="A41" s="5">
        <v>281</v>
      </c>
      <c r="B41" s="6" t="s">
        <v>65</v>
      </c>
      <c r="C41" s="7">
        <v>8750</v>
      </c>
      <c r="D41" s="7">
        <v>419.88</v>
      </c>
      <c r="E41" s="8">
        <f t="shared" si="3"/>
        <v>2519.2799999999997</v>
      </c>
      <c r="F41" s="8">
        <f t="shared" si="4"/>
        <v>419.88</v>
      </c>
      <c r="G41" s="9">
        <f t="shared" si="5"/>
        <v>2939.16</v>
      </c>
      <c r="H41" s="37">
        <v>3354.2</v>
      </c>
      <c r="I41" s="10"/>
      <c r="J41" s="10"/>
      <c r="K41" s="119"/>
      <c r="L41" s="19"/>
      <c r="M41" s="13">
        <f t="shared" si="6"/>
        <v>5395.8</v>
      </c>
      <c r="N41" s="14">
        <f t="shared" si="0"/>
        <v>8750</v>
      </c>
      <c r="O41" s="5">
        <v>0.03</v>
      </c>
      <c r="P41" s="33">
        <f t="shared" si="1"/>
        <v>539.58000000000004</v>
      </c>
      <c r="Q41" s="33">
        <f t="shared" si="2"/>
        <v>582.74640000000011</v>
      </c>
    </row>
    <row r="42" spans="1:17" s="55" customFormat="1" x14ac:dyDescent="0.25">
      <c r="A42" s="5">
        <v>283</v>
      </c>
      <c r="B42" s="6" t="s">
        <v>66</v>
      </c>
      <c r="C42" s="7">
        <v>5000</v>
      </c>
      <c r="D42" s="7">
        <v>419.88</v>
      </c>
      <c r="E42" s="8">
        <f t="shared" si="3"/>
        <v>2519.2799999999997</v>
      </c>
      <c r="F42" s="8">
        <f t="shared" si="4"/>
        <v>419.88</v>
      </c>
      <c r="G42" s="9">
        <f t="shared" si="5"/>
        <v>2939.16</v>
      </c>
      <c r="H42" s="37">
        <v>3354.4</v>
      </c>
      <c r="I42" s="10"/>
      <c r="J42" s="10"/>
      <c r="K42" s="120"/>
      <c r="L42" s="12"/>
      <c r="M42" s="13">
        <f t="shared" si="6"/>
        <v>1645.6</v>
      </c>
      <c r="N42" s="14">
        <f t="shared" si="0"/>
        <v>5000</v>
      </c>
      <c r="O42" s="5">
        <v>0.03</v>
      </c>
      <c r="P42" s="33">
        <f t="shared" si="1"/>
        <v>164.56</v>
      </c>
      <c r="Q42" s="33">
        <f t="shared" si="2"/>
        <v>177.72480000000002</v>
      </c>
    </row>
    <row r="43" spans="1:17" s="55" customFormat="1" x14ac:dyDescent="0.25">
      <c r="A43" s="5">
        <v>284</v>
      </c>
      <c r="B43" s="6" t="s">
        <v>67</v>
      </c>
      <c r="C43" s="7">
        <v>4000</v>
      </c>
      <c r="D43" s="7">
        <v>419.88</v>
      </c>
      <c r="E43" s="8">
        <f t="shared" si="3"/>
        <v>2519.2799999999997</v>
      </c>
      <c r="F43" s="8">
        <f t="shared" si="4"/>
        <v>419.88</v>
      </c>
      <c r="G43" s="9">
        <f t="shared" si="5"/>
        <v>2939.16</v>
      </c>
      <c r="H43" s="37">
        <v>3120.4</v>
      </c>
      <c r="I43" s="10">
        <v>225</v>
      </c>
      <c r="J43" s="10">
        <v>105</v>
      </c>
      <c r="K43" s="119">
        <v>293.92</v>
      </c>
      <c r="L43" s="19"/>
      <c r="M43" s="13">
        <f t="shared" si="6"/>
        <v>255.67999999999989</v>
      </c>
      <c r="N43" s="14">
        <f t="shared" si="0"/>
        <v>3376.08</v>
      </c>
      <c r="O43" s="5" t="s">
        <v>48</v>
      </c>
      <c r="P43" s="33">
        <f t="shared" si="1"/>
        <v>25.567999999999991</v>
      </c>
      <c r="Q43" s="33">
        <f t="shared" si="2"/>
        <v>27.613439999999994</v>
      </c>
    </row>
    <row r="44" spans="1:17" s="55" customFormat="1" x14ac:dyDescent="0.25">
      <c r="A44" s="5">
        <v>285</v>
      </c>
      <c r="B44" s="6" t="s">
        <v>68</v>
      </c>
      <c r="C44" s="7">
        <v>4000</v>
      </c>
      <c r="D44" s="7">
        <v>419.88</v>
      </c>
      <c r="E44" s="8">
        <f t="shared" si="3"/>
        <v>2519.2799999999997</v>
      </c>
      <c r="F44" s="8">
        <f t="shared" si="4"/>
        <v>419.88</v>
      </c>
      <c r="G44" s="9">
        <f t="shared" si="5"/>
        <v>2939.16</v>
      </c>
      <c r="H44" s="37">
        <v>3354.4</v>
      </c>
      <c r="I44" s="10">
        <v>150</v>
      </c>
      <c r="J44" s="10">
        <v>105</v>
      </c>
      <c r="K44" s="120"/>
      <c r="L44" s="19"/>
      <c r="M44" s="13">
        <f>C44-H44-I44+L44-K44-J44</f>
        <v>390.59999999999991</v>
      </c>
      <c r="N44" s="14">
        <f t="shared" si="0"/>
        <v>3745</v>
      </c>
      <c r="O44" s="5" t="s">
        <v>48</v>
      </c>
      <c r="P44" s="33">
        <f t="shared" si="1"/>
        <v>39.059999999999995</v>
      </c>
      <c r="Q44" s="33">
        <f t="shared" si="2"/>
        <v>42.184799999999996</v>
      </c>
    </row>
    <row r="45" spans="1:17" s="55" customFormat="1" x14ac:dyDescent="0.25">
      <c r="A45" s="5">
        <v>286</v>
      </c>
      <c r="B45" s="6" t="s">
        <v>69</v>
      </c>
      <c r="C45" s="7">
        <v>4000</v>
      </c>
      <c r="D45" s="7">
        <v>419.88</v>
      </c>
      <c r="E45" s="8">
        <f t="shared" si="3"/>
        <v>2519.2799999999997</v>
      </c>
      <c r="F45" s="8">
        <f t="shared" si="4"/>
        <v>419.88</v>
      </c>
      <c r="G45" s="9">
        <f t="shared" si="5"/>
        <v>2939.16</v>
      </c>
      <c r="H45" s="37">
        <v>3354.2</v>
      </c>
      <c r="I45" s="10">
        <v>375</v>
      </c>
      <c r="J45" s="10"/>
      <c r="K45" s="119"/>
      <c r="L45" s="19"/>
      <c r="M45" s="13">
        <f t="shared" si="6"/>
        <v>270.80000000000018</v>
      </c>
      <c r="N45" s="14">
        <f t="shared" si="0"/>
        <v>3625</v>
      </c>
      <c r="O45" s="5" t="s">
        <v>118</v>
      </c>
      <c r="P45" s="33">
        <f t="shared" si="1"/>
        <v>27.08000000000002</v>
      </c>
      <c r="Q45" s="33">
        <f t="shared" si="2"/>
        <v>29.246400000000023</v>
      </c>
    </row>
    <row r="46" spans="1:17" s="55" customFormat="1" x14ac:dyDescent="0.25">
      <c r="A46" s="5">
        <v>287</v>
      </c>
      <c r="B46" s="6" t="s">
        <v>72</v>
      </c>
      <c r="C46" s="7">
        <v>5000</v>
      </c>
      <c r="D46" s="7">
        <v>419.88</v>
      </c>
      <c r="E46" s="8">
        <f t="shared" si="3"/>
        <v>2519.2799999999997</v>
      </c>
      <c r="F46" s="8">
        <f t="shared" si="4"/>
        <v>419.88</v>
      </c>
      <c r="G46" s="9">
        <f t="shared" si="5"/>
        <v>2939.16</v>
      </c>
      <c r="H46" s="37">
        <v>3354.4</v>
      </c>
      <c r="I46" s="10">
        <v>300</v>
      </c>
      <c r="J46" s="10">
        <v>70</v>
      </c>
      <c r="K46" s="120"/>
      <c r="L46" s="19"/>
      <c r="M46" s="13">
        <f>C46-H46-I46+L46-K46-J46</f>
        <v>1275.5999999999999</v>
      </c>
      <c r="N46" s="14">
        <f t="shared" si="0"/>
        <v>4630</v>
      </c>
      <c r="O46" s="5" t="s">
        <v>118</v>
      </c>
      <c r="P46" s="33">
        <f t="shared" si="1"/>
        <v>127.56</v>
      </c>
      <c r="Q46" s="33">
        <f t="shared" si="2"/>
        <v>137.76480000000001</v>
      </c>
    </row>
    <row r="47" spans="1:17" s="55" customFormat="1" x14ac:dyDescent="0.25">
      <c r="A47" s="5">
        <v>288</v>
      </c>
      <c r="B47" s="6" t="s">
        <v>73</v>
      </c>
      <c r="C47" s="7">
        <v>3500</v>
      </c>
      <c r="D47" s="7">
        <v>419.88</v>
      </c>
      <c r="E47" s="8">
        <f t="shared" si="3"/>
        <v>2519.2799999999997</v>
      </c>
      <c r="F47" s="8">
        <f t="shared" si="4"/>
        <v>419.88</v>
      </c>
      <c r="G47" s="9">
        <f t="shared" si="5"/>
        <v>2939.16</v>
      </c>
      <c r="H47" s="37">
        <v>3354.4</v>
      </c>
      <c r="I47" s="10"/>
      <c r="J47" s="10"/>
      <c r="K47" s="119"/>
      <c r="L47" s="19">
        <v>1500</v>
      </c>
      <c r="M47" s="13">
        <f>C47-H47-I47+L47-K47-J47</f>
        <v>1645.6</v>
      </c>
      <c r="N47" s="14">
        <f t="shared" si="0"/>
        <v>5000</v>
      </c>
      <c r="O47" s="5">
        <v>0.03</v>
      </c>
      <c r="P47" s="33">
        <f t="shared" si="1"/>
        <v>164.56</v>
      </c>
      <c r="Q47" s="33">
        <f t="shared" si="2"/>
        <v>177.72480000000002</v>
      </c>
    </row>
    <row r="48" spans="1:17" x14ac:dyDescent="0.25">
      <c r="A48" s="5">
        <v>289</v>
      </c>
      <c r="B48" s="6" t="s">
        <v>74</v>
      </c>
      <c r="C48" s="7">
        <v>3500</v>
      </c>
      <c r="D48" s="7">
        <v>419.88</v>
      </c>
      <c r="E48" s="8">
        <f t="shared" si="3"/>
        <v>2519.2799999999997</v>
      </c>
      <c r="F48" s="8">
        <f t="shared" si="4"/>
        <v>419.88</v>
      </c>
      <c r="G48" s="9">
        <f t="shared" si="5"/>
        <v>2939.16</v>
      </c>
      <c r="H48" s="37">
        <v>3354.4</v>
      </c>
      <c r="I48" s="10"/>
      <c r="J48" s="10"/>
      <c r="K48" s="119"/>
      <c r="L48" s="19">
        <v>1500</v>
      </c>
      <c r="M48" s="13">
        <f t="shared" si="6"/>
        <v>1645.6</v>
      </c>
      <c r="N48" s="14">
        <f t="shared" si="0"/>
        <v>5000</v>
      </c>
      <c r="O48" s="5">
        <v>0.03</v>
      </c>
      <c r="P48" s="33">
        <f t="shared" si="1"/>
        <v>164.56</v>
      </c>
      <c r="Q48" s="33">
        <f t="shared" si="2"/>
        <v>177.72480000000002</v>
      </c>
    </row>
    <row r="49" spans="1:18" x14ac:dyDescent="0.25">
      <c r="A49" s="5">
        <v>291</v>
      </c>
      <c r="B49" s="6" t="s">
        <v>78</v>
      </c>
      <c r="C49" s="7">
        <v>4250</v>
      </c>
      <c r="D49" s="7">
        <v>419.88</v>
      </c>
      <c r="E49" s="8">
        <f t="shared" si="3"/>
        <v>2519.2799999999997</v>
      </c>
      <c r="F49" s="8">
        <f t="shared" si="4"/>
        <v>419.88</v>
      </c>
      <c r="G49" s="9">
        <f t="shared" si="5"/>
        <v>2939.16</v>
      </c>
      <c r="H49" s="37">
        <v>3354.2</v>
      </c>
      <c r="I49" s="10">
        <v>75</v>
      </c>
      <c r="J49" s="10">
        <v>35</v>
      </c>
      <c r="K49" s="119"/>
      <c r="L49" s="19"/>
      <c r="M49" s="13">
        <f t="shared" si="6"/>
        <v>785.80000000000018</v>
      </c>
      <c r="N49" s="14">
        <f t="shared" si="0"/>
        <v>4140</v>
      </c>
      <c r="O49" s="5">
        <v>0.03</v>
      </c>
      <c r="P49" s="33">
        <f t="shared" si="1"/>
        <v>78.580000000000027</v>
      </c>
      <c r="Q49" s="33">
        <f t="shared" si="2"/>
        <v>84.866400000000041</v>
      </c>
    </row>
    <row r="50" spans="1:18" x14ac:dyDescent="0.25">
      <c r="A50" s="5">
        <v>293</v>
      </c>
      <c r="B50" s="6" t="s">
        <v>89</v>
      </c>
      <c r="C50" s="7">
        <v>4000</v>
      </c>
      <c r="D50" s="7">
        <v>419.88</v>
      </c>
      <c r="E50" s="8">
        <f t="shared" si="3"/>
        <v>2519.2799999999997</v>
      </c>
      <c r="F50" s="8">
        <f t="shared" si="4"/>
        <v>419.88</v>
      </c>
      <c r="G50" s="9">
        <f t="shared" si="5"/>
        <v>2939.16</v>
      </c>
      <c r="H50" s="37">
        <v>3354.4</v>
      </c>
      <c r="I50" s="10"/>
      <c r="J50" s="10">
        <v>70</v>
      </c>
      <c r="K50" s="119"/>
      <c r="L50" s="12"/>
      <c r="M50" s="13">
        <f t="shared" si="6"/>
        <v>575.59999999999991</v>
      </c>
      <c r="N50" s="14">
        <f t="shared" si="0"/>
        <v>3930</v>
      </c>
      <c r="O50" s="5">
        <v>0.03</v>
      </c>
      <c r="P50" s="33">
        <f t="shared" si="1"/>
        <v>57.559999999999995</v>
      </c>
      <c r="Q50" s="33">
        <f t="shared" si="2"/>
        <v>62.1648</v>
      </c>
    </row>
    <row r="51" spans="1:18" x14ac:dyDescent="0.25">
      <c r="A51" s="5">
        <v>294</v>
      </c>
      <c r="B51" s="6" t="s">
        <v>91</v>
      </c>
      <c r="C51" s="7">
        <v>4000</v>
      </c>
      <c r="D51" s="7">
        <v>419.88</v>
      </c>
      <c r="E51" s="8">
        <f t="shared" si="3"/>
        <v>2519.2799999999997</v>
      </c>
      <c r="F51" s="8">
        <f t="shared" si="4"/>
        <v>419.88</v>
      </c>
      <c r="G51" s="9">
        <f t="shared" si="5"/>
        <v>2939.16</v>
      </c>
      <c r="H51" s="37">
        <v>3354.4</v>
      </c>
      <c r="I51" s="10">
        <v>375</v>
      </c>
      <c r="J51" s="10">
        <v>105</v>
      </c>
      <c r="K51" s="120"/>
      <c r="L51" s="12"/>
      <c r="M51" s="13">
        <f t="shared" si="6"/>
        <v>165.59999999999991</v>
      </c>
      <c r="N51" s="14">
        <f t="shared" si="0"/>
        <v>3520</v>
      </c>
      <c r="O51" s="5">
        <v>0.03</v>
      </c>
      <c r="P51" s="33">
        <f t="shared" si="1"/>
        <v>16.559999999999992</v>
      </c>
      <c r="Q51" s="33">
        <f t="shared" si="2"/>
        <v>17.884799999999991</v>
      </c>
    </row>
    <row r="52" spans="1:18" x14ac:dyDescent="0.25">
      <c r="A52" s="5">
        <v>295</v>
      </c>
      <c r="B52" s="6" t="s">
        <v>104</v>
      </c>
      <c r="C52" s="7">
        <v>5500</v>
      </c>
      <c r="D52" s="7">
        <v>419.88</v>
      </c>
      <c r="E52" s="8">
        <f t="shared" si="3"/>
        <v>2519.2799999999997</v>
      </c>
      <c r="F52" s="8">
        <f t="shared" si="4"/>
        <v>419.88</v>
      </c>
      <c r="G52" s="9">
        <f t="shared" si="5"/>
        <v>2939.16</v>
      </c>
      <c r="H52" s="37">
        <v>3354.4</v>
      </c>
      <c r="I52" s="10">
        <v>375</v>
      </c>
      <c r="J52" s="10">
        <v>70</v>
      </c>
      <c r="K52" s="120"/>
      <c r="L52" s="12"/>
      <c r="M52" s="22">
        <f t="shared" si="6"/>
        <v>1700.6</v>
      </c>
      <c r="N52" s="14">
        <f t="shared" si="0"/>
        <v>5055</v>
      </c>
      <c r="O52" s="5" t="s">
        <v>118</v>
      </c>
      <c r="P52" s="33">
        <f t="shared" si="1"/>
        <v>170.06</v>
      </c>
      <c r="Q52" s="33">
        <f t="shared" si="2"/>
        <v>183.66480000000001</v>
      </c>
    </row>
    <row r="53" spans="1:18" x14ac:dyDescent="0.25">
      <c r="A53" s="5">
        <v>298</v>
      </c>
      <c r="B53" s="6" t="s">
        <v>115</v>
      </c>
      <c r="C53" s="7">
        <v>5000</v>
      </c>
      <c r="D53" s="7">
        <v>419.88</v>
      </c>
      <c r="E53" s="8">
        <f t="shared" si="3"/>
        <v>2519.2799999999997</v>
      </c>
      <c r="F53" s="8">
        <f t="shared" si="4"/>
        <v>419.88</v>
      </c>
      <c r="G53" s="9">
        <f t="shared" si="5"/>
        <v>2939.16</v>
      </c>
      <c r="H53" s="37">
        <v>1822.4</v>
      </c>
      <c r="I53" s="10">
        <v>225</v>
      </c>
      <c r="J53" s="10">
        <v>105</v>
      </c>
      <c r="K53" s="123">
        <f>1461.94</f>
        <v>1461.94</v>
      </c>
      <c r="L53" s="12"/>
      <c r="M53" s="22">
        <f t="shared" si="6"/>
        <v>1385.6599999999999</v>
      </c>
      <c r="N53" s="14">
        <f t="shared" si="0"/>
        <v>3208.06</v>
      </c>
      <c r="O53" s="5">
        <v>0.03</v>
      </c>
      <c r="P53" s="33">
        <f t="shared" si="1"/>
        <v>138.566</v>
      </c>
      <c r="Q53" s="33">
        <f t="shared" si="2"/>
        <v>149.65128000000001</v>
      </c>
    </row>
    <row r="54" spans="1:18" s="55" customFormat="1" x14ac:dyDescent="0.25">
      <c r="A54" s="5">
        <v>300</v>
      </c>
      <c r="B54" s="6" t="s">
        <v>121</v>
      </c>
      <c r="C54" s="7">
        <v>6250</v>
      </c>
      <c r="D54" s="7">
        <v>419.88</v>
      </c>
      <c r="E54" s="8">
        <f t="shared" si="3"/>
        <v>2519.2799999999997</v>
      </c>
      <c r="F54" s="8">
        <f t="shared" si="4"/>
        <v>419.88</v>
      </c>
      <c r="G54" s="9">
        <f t="shared" si="5"/>
        <v>2939.16</v>
      </c>
      <c r="H54" s="37">
        <v>3354.2</v>
      </c>
      <c r="I54" s="10"/>
      <c r="J54" s="10"/>
      <c r="K54" s="119"/>
      <c r="L54" s="12">
        <v>5000</v>
      </c>
      <c r="M54" s="22">
        <f t="shared" si="6"/>
        <v>7895.8</v>
      </c>
      <c r="N54" s="14">
        <f t="shared" si="0"/>
        <v>11250</v>
      </c>
      <c r="O54" s="5">
        <v>0.03</v>
      </c>
      <c r="P54" s="33">
        <f t="shared" si="1"/>
        <v>789.58</v>
      </c>
      <c r="Q54" s="33">
        <f t="shared" si="2"/>
        <v>852.74640000000011</v>
      </c>
    </row>
    <row r="55" spans="1:18" s="55" customFormat="1" x14ac:dyDescent="0.25">
      <c r="A55" s="5">
        <v>301</v>
      </c>
      <c r="B55" s="6" t="s">
        <v>124</v>
      </c>
      <c r="C55" s="7">
        <v>5000</v>
      </c>
      <c r="D55" s="7">
        <v>419.88</v>
      </c>
      <c r="E55" s="8">
        <f t="shared" si="3"/>
        <v>2519.2799999999997</v>
      </c>
      <c r="F55" s="8">
        <f t="shared" si="4"/>
        <v>419.88</v>
      </c>
      <c r="G55" s="9">
        <f t="shared" si="5"/>
        <v>2939.16</v>
      </c>
      <c r="H55" s="37">
        <v>3354.4</v>
      </c>
      <c r="I55" s="10">
        <v>375</v>
      </c>
      <c r="J55" s="10"/>
      <c r="K55" s="119"/>
      <c r="L55" s="12"/>
      <c r="M55" s="22">
        <f t="shared" si="6"/>
        <v>1270.5999999999999</v>
      </c>
      <c r="N55" s="14">
        <f t="shared" si="0"/>
        <v>4625</v>
      </c>
      <c r="O55" s="5">
        <v>0.03</v>
      </c>
      <c r="P55" s="33">
        <f t="shared" si="1"/>
        <v>127.06</v>
      </c>
      <c r="Q55" s="33">
        <f t="shared" si="2"/>
        <v>137.22480000000002</v>
      </c>
    </row>
    <row r="56" spans="1:18" s="55" customFormat="1" x14ac:dyDescent="0.25">
      <c r="A56" s="5">
        <v>302</v>
      </c>
      <c r="B56" s="6" t="s">
        <v>128</v>
      </c>
      <c r="C56" s="7">
        <v>5000</v>
      </c>
      <c r="D56" s="7">
        <v>419.88</v>
      </c>
      <c r="E56" s="8">
        <f t="shared" si="3"/>
        <v>2519.2799999999997</v>
      </c>
      <c r="F56" s="8">
        <f t="shared" si="4"/>
        <v>419.88</v>
      </c>
      <c r="G56" s="9">
        <f t="shared" si="5"/>
        <v>2939.16</v>
      </c>
      <c r="H56" s="37">
        <v>3354.4</v>
      </c>
      <c r="I56" s="10">
        <v>75</v>
      </c>
      <c r="J56" s="10"/>
      <c r="K56" s="119"/>
      <c r="L56" s="12"/>
      <c r="M56" s="22">
        <f t="shared" si="6"/>
        <v>1570.6</v>
      </c>
      <c r="N56" s="14">
        <f t="shared" si="0"/>
        <v>4925</v>
      </c>
      <c r="O56" s="5">
        <v>0.03</v>
      </c>
      <c r="P56" s="33">
        <f t="shared" si="1"/>
        <v>157.06</v>
      </c>
      <c r="Q56" s="33">
        <f t="shared" si="2"/>
        <v>169.62480000000002</v>
      </c>
    </row>
    <row r="57" spans="1:18" s="55" customFormat="1" x14ac:dyDescent="0.25">
      <c r="A57" s="5">
        <v>303</v>
      </c>
      <c r="B57" s="6" t="s">
        <v>129</v>
      </c>
      <c r="C57" s="7">
        <v>4000</v>
      </c>
      <c r="D57" s="7">
        <v>419.88</v>
      </c>
      <c r="E57" s="8">
        <f t="shared" si="3"/>
        <v>2519.2799999999997</v>
      </c>
      <c r="F57" s="8">
        <f t="shared" si="4"/>
        <v>419.88</v>
      </c>
      <c r="G57" s="9">
        <f t="shared" si="5"/>
        <v>2939.16</v>
      </c>
      <c r="H57" s="37">
        <v>3120.2</v>
      </c>
      <c r="I57" s="10"/>
      <c r="J57" s="10"/>
      <c r="K57" s="119">
        <v>293.92</v>
      </c>
      <c r="L57" s="12"/>
      <c r="M57" s="22">
        <f t="shared" ref="M57:M62" si="7">C57-H57-I57+L57-K57-J57</f>
        <v>585.88000000000011</v>
      </c>
      <c r="N57" s="14">
        <f t="shared" si="0"/>
        <v>3706.08</v>
      </c>
      <c r="O57" s="5">
        <v>0.03</v>
      </c>
      <c r="P57" s="33">
        <f t="shared" si="1"/>
        <v>58.588000000000015</v>
      </c>
      <c r="Q57" s="33">
        <f t="shared" si="2"/>
        <v>63.275040000000018</v>
      </c>
    </row>
    <row r="58" spans="1:18" s="55" customFormat="1" x14ac:dyDescent="0.25">
      <c r="A58" s="5">
        <v>304</v>
      </c>
      <c r="B58" s="6" t="s">
        <v>131</v>
      </c>
      <c r="C58" s="7">
        <v>4500</v>
      </c>
      <c r="D58" s="7">
        <v>419.88</v>
      </c>
      <c r="E58" s="8">
        <f t="shared" si="3"/>
        <v>2519.2799999999997</v>
      </c>
      <c r="F58" s="8">
        <f t="shared" si="4"/>
        <v>419.88</v>
      </c>
      <c r="G58" s="9">
        <f t="shared" si="5"/>
        <v>2939.16</v>
      </c>
      <c r="H58" s="37">
        <v>3354.4</v>
      </c>
      <c r="I58" s="10">
        <v>225</v>
      </c>
      <c r="J58" s="10">
        <v>140</v>
      </c>
      <c r="K58" s="119"/>
      <c r="L58" s="12"/>
      <c r="M58" s="22">
        <f t="shared" si="7"/>
        <v>780.59999999999991</v>
      </c>
      <c r="N58" s="14">
        <f t="shared" si="0"/>
        <v>4135</v>
      </c>
      <c r="O58" s="5">
        <v>0.03</v>
      </c>
      <c r="P58" s="33">
        <f t="shared" si="1"/>
        <v>78.06</v>
      </c>
      <c r="Q58" s="33">
        <f t="shared" si="2"/>
        <v>84.304800000000014</v>
      </c>
    </row>
    <row r="59" spans="1:18" s="55" customFormat="1" x14ac:dyDescent="0.25">
      <c r="A59" s="5">
        <v>306</v>
      </c>
      <c r="B59" s="6" t="s">
        <v>136</v>
      </c>
      <c r="C59" s="7">
        <v>4000</v>
      </c>
      <c r="D59" s="7">
        <v>419.88</v>
      </c>
      <c r="E59" s="8">
        <f t="shared" si="3"/>
        <v>2519.2799999999997</v>
      </c>
      <c r="F59" s="8">
        <f t="shared" si="4"/>
        <v>419.88</v>
      </c>
      <c r="G59" s="9">
        <f t="shared" si="5"/>
        <v>2939.16</v>
      </c>
      <c r="H59" s="115">
        <v>3354.2</v>
      </c>
      <c r="I59" s="10">
        <v>375</v>
      </c>
      <c r="J59" s="10">
        <v>70</v>
      </c>
      <c r="K59" s="119"/>
      <c r="L59" s="12"/>
      <c r="M59" s="22">
        <f t="shared" si="7"/>
        <v>200.80000000000018</v>
      </c>
      <c r="N59" s="14">
        <f t="shared" si="0"/>
        <v>3555</v>
      </c>
      <c r="O59" s="5">
        <v>0.03</v>
      </c>
      <c r="P59" s="33">
        <f t="shared" si="1"/>
        <v>20.08000000000002</v>
      </c>
      <c r="Q59" s="33">
        <f t="shared" si="2"/>
        <v>21.686400000000024</v>
      </c>
    </row>
    <row r="60" spans="1:18" s="55" customFormat="1" x14ac:dyDescent="0.25">
      <c r="A60" s="5">
        <v>307</v>
      </c>
      <c r="B60" s="6" t="s">
        <v>140</v>
      </c>
      <c r="C60" s="7">
        <v>4000</v>
      </c>
      <c r="D60" s="7">
        <v>419.88</v>
      </c>
      <c r="E60" s="8">
        <f t="shared" si="3"/>
        <v>2519.2799999999997</v>
      </c>
      <c r="F60" s="8">
        <f t="shared" si="4"/>
        <v>419.88</v>
      </c>
      <c r="G60" s="9">
        <f t="shared" si="5"/>
        <v>2939.16</v>
      </c>
      <c r="H60" s="115">
        <v>3354.2</v>
      </c>
      <c r="I60" s="10">
        <v>375</v>
      </c>
      <c r="J60" s="10">
        <v>175</v>
      </c>
      <c r="K60" s="119"/>
      <c r="L60" s="12"/>
      <c r="M60" s="22">
        <f t="shared" si="7"/>
        <v>95.800000000000182</v>
      </c>
      <c r="N60" s="14">
        <f t="shared" si="0"/>
        <v>3450</v>
      </c>
      <c r="O60" s="5">
        <v>0.03</v>
      </c>
      <c r="P60" s="33">
        <f t="shared" si="1"/>
        <v>9.5800000000000178</v>
      </c>
      <c r="Q60" s="33">
        <f t="shared" si="2"/>
        <v>10.34640000000002</v>
      </c>
    </row>
    <row r="61" spans="1:18" s="55" customFormat="1" x14ac:dyDescent="0.25">
      <c r="A61" s="5">
        <v>308</v>
      </c>
      <c r="B61" s="6" t="s">
        <v>138</v>
      </c>
      <c r="C61" s="7">
        <v>2700</v>
      </c>
      <c r="D61" s="7">
        <v>420.88</v>
      </c>
      <c r="E61" s="8">
        <f t="shared" si="3"/>
        <v>2525.2799999999997</v>
      </c>
      <c r="F61" s="8">
        <f t="shared" si="4"/>
        <v>419.88</v>
      </c>
      <c r="G61" s="9">
        <f t="shared" si="5"/>
        <v>2945.16</v>
      </c>
      <c r="H61" s="115">
        <v>2560</v>
      </c>
      <c r="I61" s="10"/>
      <c r="J61" s="10">
        <v>140</v>
      </c>
      <c r="K61" s="119"/>
      <c r="L61" s="12"/>
      <c r="M61" s="22">
        <f t="shared" si="7"/>
        <v>0</v>
      </c>
      <c r="N61" s="14">
        <f t="shared" si="0"/>
        <v>2560</v>
      </c>
      <c r="O61" s="5">
        <v>0.03</v>
      </c>
      <c r="P61" s="33">
        <f t="shared" si="1"/>
        <v>0</v>
      </c>
      <c r="Q61" s="33">
        <f t="shared" si="2"/>
        <v>0</v>
      </c>
    </row>
    <row r="62" spans="1:18" s="55" customFormat="1" x14ac:dyDescent="0.25">
      <c r="A62" s="5">
        <v>309</v>
      </c>
      <c r="B62" s="6" t="s">
        <v>143</v>
      </c>
      <c r="C62" s="7">
        <v>4000</v>
      </c>
      <c r="D62" s="7">
        <v>419.88</v>
      </c>
      <c r="E62" s="8">
        <f t="shared" si="3"/>
        <v>2519.2799999999997</v>
      </c>
      <c r="F62" s="8">
        <f t="shared" si="4"/>
        <v>419.88</v>
      </c>
      <c r="G62" s="9">
        <f t="shared" si="5"/>
        <v>2939.16</v>
      </c>
      <c r="H62" s="115">
        <v>3354.4</v>
      </c>
      <c r="I62" s="10"/>
      <c r="J62" s="10"/>
      <c r="K62" s="119"/>
      <c r="L62" s="12"/>
      <c r="M62" s="22">
        <f t="shared" si="7"/>
        <v>645.59999999999991</v>
      </c>
      <c r="N62" s="14">
        <f t="shared" si="0"/>
        <v>4000</v>
      </c>
      <c r="O62" s="5">
        <v>0.03</v>
      </c>
      <c r="P62" s="33">
        <f t="shared" si="1"/>
        <v>64.559999999999988</v>
      </c>
      <c r="Q62" s="33">
        <f t="shared" si="2"/>
        <v>69.724799999999988</v>
      </c>
    </row>
    <row r="63" spans="1:18" s="55" customFormat="1" ht="16.149999999999999" customHeight="1" thickBot="1" x14ac:dyDescent="0.3">
      <c r="A63"/>
      <c r="B63"/>
      <c r="C63"/>
      <c r="D63"/>
      <c r="E63"/>
      <c r="F63"/>
      <c r="G63"/>
      <c r="H63" s="117"/>
      <c r="I63"/>
      <c r="J63"/>
      <c r="K63"/>
      <c r="L63"/>
      <c r="M63"/>
      <c r="N63"/>
      <c r="O63"/>
      <c r="P63"/>
      <c r="Q63"/>
    </row>
    <row r="64" spans="1:18" ht="18" thickBot="1" x14ac:dyDescent="0.35">
      <c r="A64" s="23"/>
      <c r="B64" s="24"/>
      <c r="C64" s="25">
        <f>SUM(C4:C63)</f>
        <v>292575</v>
      </c>
      <c r="D64" s="25">
        <f t="shared" ref="D64:J64" si="8">SUM(D4:D63)</f>
        <v>24773.920000000006</v>
      </c>
      <c r="E64" s="25">
        <f t="shared" si="8"/>
        <v>146124.23999999996</v>
      </c>
      <c r="F64" s="25">
        <f t="shared" si="8"/>
        <v>24353.040000000005</v>
      </c>
      <c r="G64" s="25">
        <f t="shared" si="8"/>
        <v>170477.28000000014</v>
      </c>
      <c r="H64" s="118">
        <f>SUM(H4:H63)</f>
        <v>186409.99999999991</v>
      </c>
      <c r="I64" s="26">
        <f t="shared" si="8"/>
        <v>9975</v>
      </c>
      <c r="J64" s="26">
        <f t="shared" si="8"/>
        <v>2765</v>
      </c>
      <c r="K64" s="26">
        <f>SUM(K4:K63)</f>
        <v>8699.35</v>
      </c>
      <c r="L64" s="27">
        <f>SUM(L4:L63)</f>
        <v>8571.42</v>
      </c>
      <c r="M64" s="25">
        <f>SUM(M4:M63)</f>
        <v>93297.270000000091</v>
      </c>
      <c r="N64" s="25">
        <f>SUM(N4:N63)</f>
        <v>279707.26999999996</v>
      </c>
      <c r="P64" s="25">
        <f>SUM(P4:P63)</f>
        <v>9329.7270000000026</v>
      </c>
      <c r="Q64" s="25">
        <f>SUM(Q4:Q63)</f>
        <v>10076.105160000003</v>
      </c>
      <c r="R64" s="55">
        <f>+N64+Q64</f>
        <v>289783.37515999994</v>
      </c>
    </row>
    <row r="65" spans="9:10" x14ac:dyDescent="0.25">
      <c r="I65" s="15">
        <f>I64/75</f>
        <v>133</v>
      </c>
      <c r="J65" s="15">
        <f>J64/35</f>
        <v>79</v>
      </c>
    </row>
  </sheetData>
  <autoFilter ref="A3:Q62" xr:uid="{00000000-0009-0000-0000-000019000000}"/>
  <mergeCells count="2">
    <mergeCell ref="A1:N1"/>
    <mergeCell ref="A2:N2"/>
  </mergeCells>
  <pageMargins left="0.25" right="0.25" top="0.75" bottom="0.75" header="0.3" footer="0.3"/>
  <pageSetup scale="51" orientation="landscape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86419-3012-407D-8C4D-8F8F68338650}">
  <sheetPr>
    <pageSetUpPr fitToPage="1"/>
  </sheetPr>
  <dimension ref="A1:R65"/>
  <sheetViews>
    <sheetView showGridLines="0" topLeftCell="A58" zoomScaleNormal="100" workbookViewId="0">
      <selection activeCell="I8" sqref="I8:J8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style="117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146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116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6</v>
      </c>
      <c r="B4" s="6" t="s">
        <v>14</v>
      </c>
      <c r="C4" s="7">
        <v>4000</v>
      </c>
      <c r="D4" s="7">
        <v>419.88</v>
      </c>
      <c r="E4" s="8">
        <f t="shared" ref="E4:E62" si="0">D4*6</f>
        <v>2519.2799999999997</v>
      </c>
      <c r="F4" s="8">
        <f t="shared" ref="F4:F35" si="1">$D4</f>
        <v>419.88</v>
      </c>
      <c r="G4" s="9">
        <f>E4+F4</f>
        <v>2939.16</v>
      </c>
      <c r="H4" s="37">
        <v>3354.4</v>
      </c>
      <c r="I4" s="10">
        <v>375</v>
      </c>
      <c r="J4" s="10"/>
      <c r="K4" s="119"/>
      <c r="L4" s="19"/>
      <c r="M4" s="13">
        <f>C4-H4-I4+L4-K4-J4</f>
        <v>270.59999999999991</v>
      </c>
      <c r="N4" s="14">
        <f t="shared" ref="N4:N62" si="2">H4+M4</f>
        <v>3625</v>
      </c>
      <c r="O4" s="29" t="s">
        <v>47</v>
      </c>
      <c r="P4" s="33">
        <f t="shared" ref="P4:P62" si="3">+M4*0.1</f>
        <v>27.059999999999992</v>
      </c>
      <c r="Q4" s="33">
        <f t="shared" ref="Q4:Q62" si="4">+P4*1.08</f>
        <v>29.224799999999991</v>
      </c>
    </row>
    <row r="5" spans="1:17" x14ac:dyDescent="0.25">
      <c r="A5" s="36">
        <v>14</v>
      </c>
      <c r="B5" s="6" t="s">
        <v>15</v>
      </c>
      <c r="C5" s="7">
        <v>15000</v>
      </c>
      <c r="D5" s="7">
        <v>419.88</v>
      </c>
      <c r="E5" s="8">
        <f t="shared" si="0"/>
        <v>2519.2799999999997</v>
      </c>
      <c r="F5" s="8">
        <f t="shared" si="1"/>
        <v>419.88</v>
      </c>
      <c r="G5" s="9">
        <f t="shared" ref="G5:G62" si="5">E5+F5</f>
        <v>2939.16</v>
      </c>
      <c r="H5" s="37">
        <v>3354.4</v>
      </c>
      <c r="I5" s="10">
        <v>225</v>
      </c>
      <c r="J5" s="10">
        <v>105</v>
      </c>
      <c r="K5" s="120"/>
      <c r="L5" s="19"/>
      <c r="M5" s="13">
        <f>C5-H5-I5+L5-K5-J5</f>
        <v>11315.6</v>
      </c>
      <c r="N5" s="14">
        <f>H5+M5</f>
        <v>14670</v>
      </c>
      <c r="O5" s="30" t="s">
        <v>118</v>
      </c>
      <c r="P5" s="33">
        <f t="shared" si="3"/>
        <v>1131.5600000000002</v>
      </c>
      <c r="Q5" s="33">
        <f t="shared" si="4"/>
        <v>1222.0848000000003</v>
      </c>
    </row>
    <row r="6" spans="1:17" ht="15" customHeight="1" x14ac:dyDescent="0.25">
      <c r="A6" s="36">
        <v>24</v>
      </c>
      <c r="B6" s="6" t="s">
        <v>16</v>
      </c>
      <c r="C6" s="7">
        <v>5000</v>
      </c>
      <c r="D6" s="7">
        <v>419.88</v>
      </c>
      <c r="E6" s="8">
        <f t="shared" si="0"/>
        <v>2519.2799999999997</v>
      </c>
      <c r="F6" s="8">
        <f t="shared" si="1"/>
        <v>419.88</v>
      </c>
      <c r="G6" s="9">
        <f t="shared" si="5"/>
        <v>2939.16</v>
      </c>
      <c r="H6" s="37">
        <v>3354.2</v>
      </c>
      <c r="I6" s="10">
        <v>375</v>
      </c>
      <c r="J6" s="10">
        <v>105</v>
      </c>
      <c r="K6" s="120"/>
      <c r="L6" s="19"/>
      <c r="M6" s="13">
        <f t="shared" ref="M6:M55" si="6">C6-H6-I6+L6-K6-J6</f>
        <v>1165.8000000000002</v>
      </c>
      <c r="N6" s="14">
        <f t="shared" si="2"/>
        <v>4520</v>
      </c>
      <c r="O6" s="36" t="s">
        <v>118</v>
      </c>
      <c r="P6" s="33">
        <f t="shared" si="3"/>
        <v>116.58000000000003</v>
      </c>
      <c r="Q6" s="33">
        <f t="shared" si="4"/>
        <v>125.90640000000003</v>
      </c>
    </row>
    <row r="7" spans="1:17" x14ac:dyDescent="0.25">
      <c r="A7" s="36">
        <v>43</v>
      </c>
      <c r="B7" s="6" t="s">
        <v>17</v>
      </c>
      <c r="C7" s="7">
        <v>4500</v>
      </c>
      <c r="D7" s="7">
        <v>419.88</v>
      </c>
      <c r="E7" s="8">
        <f t="shared" si="0"/>
        <v>2519.2799999999997</v>
      </c>
      <c r="F7" s="8">
        <f t="shared" si="1"/>
        <v>419.88</v>
      </c>
      <c r="G7" s="9">
        <f t="shared" si="5"/>
        <v>2939.16</v>
      </c>
      <c r="H7" s="37">
        <v>3354.2</v>
      </c>
      <c r="I7" s="10">
        <v>375</v>
      </c>
      <c r="J7" s="10">
        <v>105</v>
      </c>
      <c r="K7" s="119"/>
      <c r="L7" s="12"/>
      <c r="M7" s="13">
        <f t="shared" si="6"/>
        <v>665.80000000000018</v>
      </c>
      <c r="N7" s="14">
        <f t="shared" si="2"/>
        <v>4020</v>
      </c>
      <c r="O7" s="30" t="s">
        <v>118</v>
      </c>
      <c r="P7" s="33">
        <f t="shared" si="3"/>
        <v>66.580000000000027</v>
      </c>
      <c r="Q7" s="33">
        <f t="shared" si="4"/>
        <v>71.906400000000033</v>
      </c>
    </row>
    <row r="8" spans="1:17" ht="15.6" customHeight="1" x14ac:dyDescent="0.25">
      <c r="A8" s="36">
        <v>52</v>
      </c>
      <c r="B8" s="6" t="s">
        <v>18</v>
      </c>
      <c r="C8" s="7">
        <v>4000</v>
      </c>
      <c r="D8" s="7">
        <v>419.88</v>
      </c>
      <c r="E8" s="8">
        <f t="shared" si="0"/>
        <v>2519.2799999999997</v>
      </c>
      <c r="F8" s="8">
        <f t="shared" si="1"/>
        <v>419.88</v>
      </c>
      <c r="G8" s="9">
        <f t="shared" si="5"/>
        <v>2939.16</v>
      </c>
      <c r="H8" s="37">
        <v>3354.2</v>
      </c>
      <c r="I8" s="10">
        <v>225</v>
      </c>
      <c r="J8" s="10">
        <v>175</v>
      </c>
      <c r="K8" s="120"/>
      <c r="L8" s="12">
        <v>5000</v>
      </c>
      <c r="M8" s="22">
        <f t="shared" si="6"/>
        <v>5245.8</v>
      </c>
      <c r="N8" s="14">
        <f t="shared" si="2"/>
        <v>8600</v>
      </c>
      <c r="O8" s="30" t="s">
        <v>47</v>
      </c>
      <c r="P8" s="33">
        <f t="shared" si="3"/>
        <v>524.58000000000004</v>
      </c>
      <c r="Q8" s="33">
        <f t="shared" si="4"/>
        <v>566.54640000000006</v>
      </c>
    </row>
    <row r="9" spans="1:17" x14ac:dyDescent="0.25">
      <c r="A9" s="5">
        <v>62</v>
      </c>
      <c r="B9" s="17" t="s">
        <v>19</v>
      </c>
      <c r="C9" s="7">
        <v>4000</v>
      </c>
      <c r="D9" s="7">
        <v>419.88</v>
      </c>
      <c r="E9" s="8">
        <f t="shared" si="0"/>
        <v>2519.2799999999997</v>
      </c>
      <c r="F9" s="8">
        <f t="shared" si="1"/>
        <v>419.88</v>
      </c>
      <c r="G9" s="9">
        <f t="shared" si="5"/>
        <v>2939.16</v>
      </c>
      <c r="H9" s="37">
        <v>3354.4</v>
      </c>
      <c r="I9" s="10"/>
      <c r="J9" s="10"/>
      <c r="K9" s="121"/>
      <c r="L9" s="19"/>
      <c r="M9" s="22">
        <f t="shared" si="6"/>
        <v>645.59999999999991</v>
      </c>
      <c r="N9" s="14">
        <f t="shared" si="2"/>
        <v>4000</v>
      </c>
      <c r="O9" s="30" t="s">
        <v>49</v>
      </c>
      <c r="P9" s="33">
        <f t="shared" si="3"/>
        <v>64.559999999999988</v>
      </c>
      <c r="Q9" s="33">
        <f t="shared" si="4"/>
        <v>69.724799999999988</v>
      </c>
    </row>
    <row r="10" spans="1:17" x14ac:dyDescent="0.25">
      <c r="A10" s="5">
        <v>109</v>
      </c>
      <c r="B10" s="17" t="s">
        <v>20</v>
      </c>
      <c r="C10" s="7">
        <v>7000</v>
      </c>
      <c r="D10" s="7">
        <v>419.88</v>
      </c>
      <c r="E10" s="8">
        <f t="shared" si="0"/>
        <v>2519.2799999999997</v>
      </c>
      <c r="F10" s="8">
        <f t="shared" si="1"/>
        <v>419.88</v>
      </c>
      <c r="G10" s="9">
        <f t="shared" si="5"/>
        <v>2939.16</v>
      </c>
      <c r="H10" s="37">
        <v>3354.2</v>
      </c>
      <c r="I10" s="10">
        <v>150</v>
      </c>
      <c r="J10" s="10">
        <v>70</v>
      </c>
      <c r="K10" s="119"/>
      <c r="L10" s="12"/>
      <c r="M10" s="13">
        <f t="shared" si="6"/>
        <v>3425.8</v>
      </c>
      <c r="N10" s="14">
        <f t="shared" si="2"/>
        <v>6780</v>
      </c>
      <c r="O10" s="30" t="s">
        <v>118</v>
      </c>
      <c r="P10" s="33">
        <f t="shared" si="3"/>
        <v>342.58000000000004</v>
      </c>
      <c r="Q10" s="33">
        <f t="shared" si="4"/>
        <v>369.98640000000006</v>
      </c>
    </row>
    <row r="11" spans="1:17" x14ac:dyDescent="0.25">
      <c r="A11" s="5">
        <v>114</v>
      </c>
      <c r="B11" s="17" t="s">
        <v>21</v>
      </c>
      <c r="C11" s="7">
        <v>5000</v>
      </c>
      <c r="D11" s="7">
        <v>419.88</v>
      </c>
      <c r="E11" s="8">
        <f t="shared" si="0"/>
        <v>2519.2799999999997</v>
      </c>
      <c r="F11" s="8">
        <f t="shared" si="1"/>
        <v>419.88</v>
      </c>
      <c r="G11" s="9">
        <f t="shared" si="5"/>
        <v>2939.16</v>
      </c>
      <c r="H11" s="37">
        <v>2879.2</v>
      </c>
      <c r="I11" s="10">
        <v>75</v>
      </c>
      <c r="J11" s="10">
        <v>105</v>
      </c>
      <c r="K11" s="119">
        <v>587.84</v>
      </c>
      <c r="L11" s="12"/>
      <c r="M11" s="13">
        <f t="shared" si="6"/>
        <v>1352.96</v>
      </c>
      <c r="N11" s="14">
        <f t="shared" si="2"/>
        <v>4232.16</v>
      </c>
      <c r="O11" s="30">
        <v>0.03</v>
      </c>
      <c r="P11" s="33">
        <f t="shared" si="3"/>
        <v>135.29600000000002</v>
      </c>
      <c r="Q11" s="33">
        <f t="shared" si="4"/>
        <v>146.11968000000005</v>
      </c>
    </row>
    <row r="12" spans="1:17" ht="15" customHeight="1" x14ac:dyDescent="0.25">
      <c r="A12" s="5">
        <v>131</v>
      </c>
      <c r="B12" s="17" t="s">
        <v>22</v>
      </c>
      <c r="C12" s="7">
        <v>3500</v>
      </c>
      <c r="D12" s="7">
        <v>419.88</v>
      </c>
      <c r="E12" s="8">
        <f t="shared" si="0"/>
        <v>2519.2799999999997</v>
      </c>
      <c r="F12" s="8">
        <f t="shared" si="1"/>
        <v>419.88</v>
      </c>
      <c r="G12" s="9">
        <f t="shared" si="5"/>
        <v>2939.16</v>
      </c>
      <c r="H12" s="37">
        <v>3393.4</v>
      </c>
      <c r="I12" s="10"/>
      <c r="J12" s="10">
        <v>175</v>
      </c>
      <c r="K12" s="120"/>
      <c r="L12" s="19">
        <v>125</v>
      </c>
      <c r="M12" s="13">
        <f>C12-H12-I12+L12-K12-J12</f>
        <v>56.599999999999909</v>
      </c>
      <c r="N12" s="14">
        <f t="shared" si="2"/>
        <v>3450</v>
      </c>
      <c r="O12" s="30">
        <v>0.03</v>
      </c>
      <c r="P12" s="33">
        <f t="shared" si="3"/>
        <v>5.6599999999999913</v>
      </c>
      <c r="Q12" s="33">
        <f t="shared" si="4"/>
        <v>6.1127999999999911</v>
      </c>
    </row>
    <row r="13" spans="1:17" x14ac:dyDescent="0.25">
      <c r="A13" s="36">
        <v>149</v>
      </c>
      <c r="B13" s="6" t="s">
        <v>23</v>
      </c>
      <c r="C13" s="7">
        <v>4000</v>
      </c>
      <c r="D13" s="7">
        <v>419.88</v>
      </c>
      <c r="E13" s="8">
        <f t="shared" si="0"/>
        <v>2519.2799999999997</v>
      </c>
      <c r="F13" s="8">
        <f t="shared" si="1"/>
        <v>419.88</v>
      </c>
      <c r="G13" s="9">
        <f t="shared" si="5"/>
        <v>2939.16</v>
      </c>
      <c r="H13" s="37">
        <v>3120.4</v>
      </c>
      <c r="I13" s="10">
        <v>150</v>
      </c>
      <c r="J13" s="10">
        <v>140</v>
      </c>
      <c r="K13" s="120">
        <v>293.92</v>
      </c>
      <c r="L13" s="19"/>
      <c r="M13" s="22">
        <f>C13-H13-I13+L13-K13-J13</f>
        <v>295.67999999999989</v>
      </c>
      <c r="N13" s="14">
        <f t="shared" si="2"/>
        <v>3416.08</v>
      </c>
      <c r="O13" s="36" t="s">
        <v>50</v>
      </c>
      <c r="P13" s="33">
        <f t="shared" si="3"/>
        <v>29.567999999999991</v>
      </c>
      <c r="Q13" s="33">
        <f t="shared" si="4"/>
        <v>31.933439999999994</v>
      </c>
    </row>
    <row r="14" spans="1:17" x14ac:dyDescent="0.25">
      <c r="A14" s="5">
        <v>150</v>
      </c>
      <c r="B14" s="6" t="s">
        <v>24</v>
      </c>
      <c r="C14" s="7">
        <v>5000</v>
      </c>
      <c r="D14" s="7">
        <v>419.88</v>
      </c>
      <c r="E14" s="8">
        <f t="shared" si="0"/>
        <v>2519.2799999999997</v>
      </c>
      <c r="F14" s="8">
        <f t="shared" si="1"/>
        <v>419.88</v>
      </c>
      <c r="G14" s="9">
        <f t="shared" si="5"/>
        <v>2939.16</v>
      </c>
      <c r="H14" s="37">
        <v>3354.4</v>
      </c>
      <c r="I14" s="10"/>
      <c r="J14" s="10"/>
      <c r="K14" s="120"/>
      <c r="L14" s="19"/>
      <c r="M14" s="13">
        <f t="shared" si="6"/>
        <v>1645.6</v>
      </c>
      <c r="N14" s="14">
        <f t="shared" si="2"/>
        <v>5000</v>
      </c>
      <c r="O14" s="30" t="s">
        <v>47</v>
      </c>
      <c r="P14" s="33">
        <f t="shared" si="3"/>
        <v>164.56</v>
      </c>
      <c r="Q14" s="33">
        <f t="shared" si="4"/>
        <v>177.72480000000002</v>
      </c>
    </row>
    <row r="15" spans="1:17" x14ac:dyDescent="0.25">
      <c r="A15" s="5">
        <v>752</v>
      </c>
      <c r="B15" s="6" t="s">
        <v>25</v>
      </c>
      <c r="C15" s="7">
        <v>4500</v>
      </c>
      <c r="D15" s="7">
        <v>419.88</v>
      </c>
      <c r="E15" s="8">
        <f t="shared" si="0"/>
        <v>2519.2799999999997</v>
      </c>
      <c r="F15" s="8">
        <f t="shared" si="1"/>
        <v>419.88</v>
      </c>
      <c r="G15" s="9">
        <f t="shared" si="5"/>
        <v>2939.16</v>
      </c>
      <c r="H15" s="37">
        <v>3354.4</v>
      </c>
      <c r="I15" s="10">
        <v>75</v>
      </c>
      <c r="J15" s="10">
        <v>105</v>
      </c>
      <c r="K15" s="120"/>
      <c r="L15" s="12"/>
      <c r="M15" s="13">
        <f>C15-H15-I15+L15-K15-J15</f>
        <v>965.59999999999991</v>
      </c>
      <c r="N15" s="14">
        <f t="shared" si="2"/>
        <v>4320</v>
      </c>
      <c r="O15" s="29">
        <v>0.03</v>
      </c>
      <c r="P15" s="33">
        <f t="shared" si="3"/>
        <v>96.56</v>
      </c>
      <c r="Q15" s="33">
        <f t="shared" si="4"/>
        <v>104.2848</v>
      </c>
    </row>
    <row r="16" spans="1:17" s="55" customFormat="1" x14ac:dyDescent="0.25">
      <c r="A16" s="5">
        <v>162</v>
      </c>
      <c r="B16" s="6" t="s">
        <v>27</v>
      </c>
      <c r="C16" s="7">
        <v>4500</v>
      </c>
      <c r="D16" s="7">
        <v>419.88</v>
      </c>
      <c r="E16" s="8">
        <f t="shared" si="0"/>
        <v>2519.2799999999997</v>
      </c>
      <c r="F16" s="8">
        <f t="shared" si="1"/>
        <v>419.88</v>
      </c>
      <c r="G16" s="9">
        <f t="shared" si="5"/>
        <v>2939.16</v>
      </c>
      <c r="H16" s="37">
        <v>3120.4</v>
      </c>
      <c r="I16" s="10">
        <v>300</v>
      </c>
      <c r="J16" s="10">
        <v>70</v>
      </c>
      <c r="K16" s="120">
        <v>293.92</v>
      </c>
      <c r="L16" s="19"/>
      <c r="M16" s="13">
        <f t="shared" si="6"/>
        <v>715.67999999999984</v>
      </c>
      <c r="N16" s="14">
        <f t="shared" si="2"/>
        <v>3836.08</v>
      </c>
      <c r="O16" s="29">
        <v>0.03</v>
      </c>
      <c r="P16" s="33">
        <f t="shared" si="3"/>
        <v>71.567999999999984</v>
      </c>
      <c r="Q16" s="33">
        <f t="shared" si="4"/>
        <v>77.29343999999999</v>
      </c>
    </row>
    <row r="17" spans="1:17" s="55" customFormat="1" x14ac:dyDescent="0.25">
      <c r="A17" s="5">
        <v>174</v>
      </c>
      <c r="B17" s="6" t="s">
        <v>28</v>
      </c>
      <c r="C17" s="7">
        <v>10000</v>
      </c>
      <c r="D17" s="7">
        <v>419.88</v>
      </c>
      <c r="E17" s="8">
        <f t="shared" si="0"/>
        <v>2519.2799999999997</v>
      </c>
      <c r="F17" s="8">
        <f t="shared" si="1"/>
        <v>419.88</v>
      </c>
      <c r="G17" s="9">
        <f t="shared" si="5"/>
        <v>2939.16</v>
      </c>
      <c r="H17" s="37">
        <v>2376</v>
      </c>
      <c r="I17" s="10"/>
      <c r="J17" s="10"/>
      <c r="K17" s="119">
        <v>908.03</v>
      </c>
      <c r="L17" s="12"/>
      <c r="M17" s="13">
        <f t="shared" si="6"/>
        <v>6715.97</v>
      </c>
      <c r="N17" s="14">
        <f t="shared" si="2"/>
        <v>9091.9700000000012</v>
      </c>
      <c r="O17" s="29" t="s">
        <v>50</v>
      </c>
      <c r="P17" s="33">
        <f t="shared" si="3"/>
        <v>671.59700000000009</v>
      </c>
      <c r="Q17" s="33">
        <f t="shared" si="4"/>
        <v>725.3247600000002</v>
      </c>
    </row>
    <row r="18" spans="1:17" s="55" customFormat="1" x14ac:dyDescent="0.25">
      <c r="A18" s="5">
        <v>184</v>
      </c>
      <c r="B18" s="6" t="s">
        <v>29</v>
      </c>
      <c r="C18" s="7">
        <v>8000</v>
      </c>
      <c r="D18" s="7">
        <v>419.88</v>
      </c>
      <c r="E18" s="8">
        <f t="shared" si="0"/>
        <v>2519.2799999999997</v>
      </c>
      <c r="F18" s="8">
        <f t="shared" si="1"/>
        <v>419.88</v>
      </c>
      <c r="G18" s="9">
        <f t="shared" si="5"/>
        <v>2939.16</v>
      </c>
      <c r="H18" s="37">
        <v>3354.4</v>
      </c>
      <c r="I18" s="10">
        <v>375</v>
      </c>
      <c r="J18" s="10">
        <v>140</v>
      </c>
      <c r="K18" s="120"/>
      <c r="L18" s="19"/>
      <c r="M18" s="13">
        <f t="shared" si="6"/>
        <v>4130.6000000000004</v>
      </c>
      <c r="N18" s="14">
        <f t="shared" si="2"/>
        <v>7485</v>
      </c>
      <c r="O18" s="29">
        <v>0.03</v>
      </c>
      <c r="P18" s="33">
        <f t="shared" si="3"/>
        <v>413.06000000000006</v>
      </c>
      <c r="Q18" s="33">
        <f t="shared" si="4"/>
        <v>446.10480000000007</v>
      </c>
    </row>
    <row r="19" spans="1:17" s="55" customFormat="1" ht="13.5" customHeight="1" x14ac:dyDescent="0.25">
      <c r="A19" s="5">
        <v>204</v>
      </c>
      <c r="B19" s="6" t="s">
        <v>33</v>
      </c>
      <c r="C19" s="7">
        <v>5000</v>
      </c>
      <c r="D19" s="7">
        <v>419.88</v>
      </c>
      <c r="E19" s="8">
        <f t="shared" si="0"/>
        <v>2519.2799999999997</v>
      </c>
      <c r="F19" s="8">
        <f t="shared" si="1"/>
        <v>419.88</v>
      </c>
      <c r="G19" s="9">
        <f t="shared" si="5"/>
        <v>2939.16</v>
      </c>
      <c r="H19" s="37">
        <v>3354.2</v>
      </c>
      <c r="I19" s="10">
        <v>150</v>
      </c>
      <c r="J19" s="10">
        <v>70</v>
      </c>
      <c r="K19" s="119"/>
      <c r="L19" s="19"/>
      <c r="M19" s="13">
        <f t="shared" si="6"/>
        <v>1425.8000000000002</v>
      </c>
      <c r="N19" s="14">
        <f t="shared" si="2"/>
        <v>4780</v>
      </c>
      <c r="O19" s="29" t="s">
        <v>118</v>
      </c>
      <c r="P19" s="33">
        <f t="shared" si="3"/>
        <v>142.58000000000001</v>
      </c>
      <c r="Q19" s="33">
        <f t="shared" si="4"/>
        <v>153.98640000000003</v>
      </c>
    </row>
    <row r="20" spans="1:17" s="55" customFormat="1" x14ac:dyDescent="0.25">
      <c r="A20" s="5">
        <v>213</v>
      </c>
      <c r="B20" s="6" t="s">
        <v>34</v>
      </c>
      <c r="C20" s="7">
        <v>4000</v>
      </c>
      <c r="D20" s="7">
        <v>419.88</v>
      </c>
      <c r="E20" s="8">
        <f t="shared" si="0"/>
        <v>2519.2799999999997</v>
      </c>
      <c r="F20" s="8">
        <f t="shared" si="1"/>
        <v>419.88</v>
      </c>
      <c r="G20" s="9">
        <f t="shared" si="5"/>
        <v>2939.16</v>
      </c>
      <c r="H20" s="37">
        <v>3354.2</v>
      </c>
      <c r="I20" s="10"/>
      <c r="J20" s="10"/>
      <c r="K20" s="119"/>
      <c r="L20" s="12"/>
      <c r="M20" s="13">
        <f t="shared" si="6"/>
        <v>645.80000000000018</v>
      </c>
      <c r="N20" s="14">
        <f t="shared" si="2"/>
        <v>4000</v>
      </c>
      <c r="O20" s="29" t="s">
        <v>50</v>
      </c>
      <c r="P20" s="33">
        <f t="shared" si="3"/>
        <v>64.580000000000027</v>
      </c>
      <c r="Q20" s="33">
        <f t="shared" si="4"/>
        <v>69.746400000000037</v>
      </c>
    </row>
    <row r="21" spans="1:17" s="55" customFormat="1" x14ac:dyDescent="0.25">
      <c r="A21" s="5">
        <v>215</v>
      </c>
      <c r="B21" s="6" t="s">
        <v>35</v>
      </c>
      <c r="C21" s="7">
        <v>5000</v>
      </c>
      <c r="D21" s="7">
        <v>419.88</v>
      </c>
      <c r="E21" s="8">
        <f t="shared" si="0"/>
        <v>2519.2799999999997</v>
      </c>
      <c r="F21" s="8">
        <f t="shared" si="1"/>
        <v>419.88</v>
      </c>
      <c r="G21" s="9">
        <f t="shared" si="5"/>
        <v>2939.16</v>
      </c>
      <c r="H21" s="37">
        <v>3331.8</v>
      </c>
      <c r="I21" s="10">
        <v>225</v>
      </c>
      <c r="J21" s="10">
        <v>70</v>
      </c>
      <c r="K21" s="120">
        <v>293.92</v>
      </c>
      <c r="L21" s="19">
        <v>535.71</v>
      </c>
      <c r="M21" s="13">
        <f t="shared" si="6"/>
        <v>1614.9899999999998</v>
      </c>
      <c r="N21" s="14">
        <f t="shared" si="2"/>
        <v>4946.79</v>
      </c>
      <c r="O21" s="29" t="s">
        <v>118</v>
      </c>
      <c r="P21" s="33">
        <f t="shared" si="3"/>
        <v>161.499</v>
      </c>
      <c r="Q21" s="33">
        <f t="shared" si="4"/>
        <v>174.41892000000001</v>
      </c>
    </row>
    <row r="22" spans="1:17" s="55" customFormat="1" x14ac:dyDescent="0.25">
      <c r="A22" s="5">
        <v>218</v>
      </c>
      <c r="B22" s="6" t="s">
        <v>36</v>
      </c>
      <c r="C22" s="7">
        <v>3500</v>
      </c>
      <c r="D22" s="7">
        <v>419.88</v>
      </c>
      <c r="E22" s="8">
        <f t="shared" si="0"/>
        <v>2519.2799999999997</v>
      </c>
      <c r="F22" s="8">
        <f t="shared" si="1"/>
        <v>419.88</v>
      </c>
      <c r="G22" s="9">
        <f t="shared" si="5"/>
        <v>2939.16</v>
      </c>
      <c r="H22" s="37">
        <v>3354.2</v>
      </c>
      <c r="I22" s="10"/>
      <c r="J22" s="10"/>
      <c r="K22" s="122"/>
      <c r="L22" s="12"/>
      <c r="M22" s="13">
        <f t="shared" si="6"/>
        <v>145.80000000000018</v>
      </c>
      <c r="N22" s="14">
        <f t="shared" si="2"/>
        <v>3500</v>
      </c>
      <c r="O22" s="29" t="s">
        <v>49</v>
      </c>
      <c r="P22" s="33">
        <f t="shared" si="3"/>
        <v>14.58000000000002</v>
      </c>
      <c r="Q22" s="33">
        <f t="shared" si="4"/>
        <v>15.746400000000023</v>
      </c>
    </row>
    <row r="23" spans="1:17" s="55" customFormat="1" x14ac:dyDescent="0.25">
      <c r="A23" s="36">
        <v>220</v>
      </c>
      <c r="B23" s="6" t="s">
        <v>37</v>
      </c>
      <c r="C23" s="7">
        <v>4000</v>
      </c>
      <c r="D23" s="7">
        <v>419.88</v>
      </c>
      <c r="E23" s="8">
        <f t="shared" si="0"/>
        <v>2519.2799999999997</v>
      </c>
      <c r="F23" s="8">
        <f t="shared" si="1"/>
        <v>419.88</v>
      </c>
      <c r="G23" s="9">
        <f t="shared" si="5"/>
        <v>2939.16</v>
      </c>
      <c r="H23" s="37">
        <v>2744</v>
      </c>
      <c r="I23" s="10">
        <v>375</v>
      </c>
      <c r="J23" s="10"/>
      <c r="K23" s="123">
        <f>610.33</f>
        <v>610.33000000000004</v>
      </c>
      <c r="L23" s="12"/>
      <c r="M23" s="22">
        <f>C23-H23-I23+L23-K23-J23</f>
        <v>270.66999999999996</v>
      </c>
      <c r="N23" s="14">
        <f t="shared" si="2"/>
        <v>3014.67</v>
      </c>
      <c r="O23" s="36">
        <v>0.03</v>
      </c>
      <c r="P23" s="33">
        <f t="shared" si="3"/>
        <v>27.066999999999997</v>
      </c>
      <c r="Q23" s="33">
        <f t="shared" si="4"/>
        <v>29.23236</v>
      </c>
    </row>
    <row r="24" spans="1:17" s="55" customFormat="1" x14ac:dyDescent="0.25">
      <c r="A24" s="5">
        <v>221</v>
      </c>
      <c r="B24" s="6" t="s">
        <v>38</v>
      </c>
      <c r="C24" s="7">
        <v>5000</v>
      </c>
      <c r="D24" s="7">
        <v>419.88</v>
      </c>
      <c r="E24" s="8">
        <f t="shared" si="0"/>
        <v>2519.2799999999997</v>
      </c>
      <c r="F24" s="8">
        <f t="shared" si="1"/>
        <v>419.88</v>
      </c>
      <c r="G24" s="9">
        <f t="shared" si="5"/>
        <v>2939.16</v>
      </c>
      <c r="H24" s="37">
        <v>3120.4</v>
      </c>
      <c r="I24" s="10"/>
      <c r="J24" s="10"/>
      <c r="K24" s="120">
        <v>293.92</v>
      </c>
      <c r="L24" s="12"/>
      <c r="M24" s="13">
        <f t="shared" si="6"/>
        <v>1585.6799999999998</v>
      </c>
      <c r="N24" s="14">
        <f t="shared" si="2"/>
        <v>4706.08</v>
      </c>
      <c r="O24" s="29">
        <v>0.03</v>
      </c>
      <c r="P24" s="33">
        <f t="shared" si="3"/>
        <v>158.56799999999998</v>
      </c>
      <c r="Q24" s="33">
        <f t="shared" si="4"/>
        <v>171.25343999999998</v>
      </c>
    </row>
    <row r="25" spans="1:17" s="55" customFormat="1" x14ac:dyDescent="0.25">
      <c r="A25" s="5">
        <v>222</v>
      </c>
      <c r="B25" s="6" t="s">
        <v>39</v>
      </c>
      <c r="C25" s="7">
        <v>8000</v>
      </c>
      <c r="D25" s="7">
        <v>419.88</v>
      </c>
      <c r="E25" s="8">
        <f t="shared" si="0"/>
        <v>2519.2799999999997</v>
      </c>
      <c r="F25" s="8">
        <f t="shared" si="1"/>
        <v>419.88</v>
      </c>
      <c r="G25" s="9">
        <f t="shared" si="5"/>
        <v>2939.16</v>
      </c>
      <c r="H25" s="37">
        <v>2447.1999999999998</v>
      </c>
      <c r="I25" s="10">
        <v>375</v>
      </c>
      <c r="J25" s="10">
        <v>140</v>
      </c>
      <c r="K25" s="123">
        <f>1538.46+293.92</f>
        <v>1832.38</v>
      </c>
      <c r="L25" s="19"/>
      <c r="M25" s="13">
        <f t="shared" si="6"/>
        <v>3205.42</v>
      </c>
      <c r="N25" s="14">
        <f t="shared" si="2"/>
        <v>5652.62</v>
      </c>
      <c r="O25" s="29" t="s">
        <v>118</v>
      </c>
      <c r="P25" s="33">
        <f t="shared" si="3"/>
        <v>320.54200000000003</v>
      </c>
      <c r="Q25" s="33">
        <f t="shared" si="4"/>
        <v>346.18536000000006</v>
      </c>
    </row>
    <row r="26" spans="1:17" s="55" customFormat="1" x14ac:dyDescent="0.25">
      <c r="A26" s="5">
        <v>227</v>
      </c>
      <c r="B26" s="6" t="s">
        <v>41</v>
      </c>
      <c r="C26" s="7">
        <v>6000</v>
      </c>
      <c r="D26" s="7">
        <v>419.88</v>
      </c>
      <c r="E26" s="8">
        <f t="shared" si="0"/>
        <v>2519.2799999999997</v>
      </c>
      <c r="F26" s="8">
        <f t="shared" si="1"/>
        <v>419.88</v>
      </c>
      <c r="G26" s="9">
        <f t="shared" si="5"/>
        <v>2939.16</v>
      </c>
      <c r="H26" s="37">
        <v>3354.4</v>
      </c>
      <c r="I26" s="10">
        <v>375</v>
      </c>
      <c r="J26" s="10">
        <v>140</v>
      </c>
      <c r="K26" s="120"/>
      <c r="L26" s="12"/>
      <c r="M26" s="13">
        <f t="shared" si="6"/>
        <v>2130.6</v>
      </c>
      <c r="N26" s="14">
        <f t="shared" si="2"/>
        <v>5485</v>
      </c>
      <c r="O26" s="29" t="s">
        <v>118</v>
      </c>
      <c r="P26" s="33">
        <f t="shared" si="3"/>
        <v>213.06</v>
      </c>
      <c r="Q26" s="33">
        <f t="shared" si="4"/>
        <v>230.10480000000001</v>
      </c>
    </row>
    <row r="27" spans="1:17" s="55" customFormat="1" x14ac:dyDescent="0.25">
      <c r="A27" s="5">
        <v>233</v>
      </c>
      <c r="B27" s="6" t="s">
        <v>42</v>
      </c>
      <c r="C27" s="7">
        <v>6250</v>
      </c>
      <c r="D27" s="7">
        <v>419.88</v>
      </c>
      <c r="E27" s="8">
        <f t="shared" si="0"/>
        <v>2519.2799999999997</v>
      </c>
      <c r="F27" s="8">
        <f t="shared" si="1"/>
        <v>419.88</v>
      </c>
      <c r="G27" s="9">
        <f t="shared" si="5"/>
        <v>2939.16</v>
      </c>
      <c r="H27" s="37">
        <v>3354.2</v>
      </c>
      <c r="I27" s="10">
        <v>375</v>
      </c>
      <c r="J27" s="10">
        <v>70</v>
      </c>
      <c r="K27" s="120"/>
      <c r="L27" s="19"/>
      <c r="M27" s="13">
        <f t="shared" si="6"/>
        <v>2450.8000000000002</v>
      </c>
      <c r="N27" s="14">
        <f t="shared" si="2"/>
        <v>5805</v>
      </c>
      <c r="O27" s="31" t="s">
        <v>118</v>
      </c>
      <c r="P27" s="33">
        <f t="shared" si="3"/>
        <v>245.08000000000004</v>
      </c>
      <c r="Q27" s="33">
        <f t="shared" si="4"/>
        <v>264.68640000000005</v>
      </c>
    </row>
    <row r="28" spans="1:17" s="55" customFormat="1" x14ac:dyDescent="0.25">
      <c r="A28" s="5">
        <v>244</v>
      </c>
      <c r="B28" s="6" t="s">
        <v>44</v>
      </c>
      <c r="C28" s="7">
        <v>5000</v>
      </c>
      <c r="D28" s="7">
        <v>419.88</v>
      </c>
      <c r="E28" s="8">
        <f t="shared" si="0"/>
        <v>2519.2799999999997</v>
      </c>
      <c r="F28" s="8">
        <f t="shared" si="1"/>
        <v>419.88</v>
      </c>
      <c r="G28" s="9">
        <f t="shared" si="5"/>
        <v>2939.16</v>
      </c>
      <c r="H28" s="37">
        <v>2133.6</v>
      </c>
      <c r="I28" s="10"/>
      <c r="J28" s="10">
        <v>175</v>
      </c>
      <c r="K28" s="123">
        <v>1220.6600000000001</v>
      </c>
      <c r="L28" s="12"/>
      <c r="M28" s="13">
        <f>C28-H28-I28+L28-K28-J28</f>
        <v>1470.74</v>
      </c>
      <c r="N28" s="14">
        <f t="shared" si="2"/>
        <v>3604.34</v>
      </c>
      <c r="O28" s="29">
        <v>0.03</v>
      </c>
      <c r="P28" s="33">
        <f t="shared" si="3"/>
        <v>147.07400000000001</v>
      </c>
      <c r="Q28" s="33">
        <f t="shared" si="4"/>
        <v>158.83992000000003</v>
      </c>
    </row>
    <row r="29" spans="1:17" s="55" customFormat="1" x14ac:dyDescent="0.25">
      <c r="A29" s="5">
        <v>245</v>
      </c>
      <c r="B29" s="6" t="s">
        <v>45</v>
      </c>
      <c r="C29" s="7">
        <v>5000</v>
      </c>
      <c r="D29" s="7">
        <v>419.88</v>
      </c>
      <c r="E29" s="8">
        <f t="shared" si="0"/>
        <v>2519.2799999999997</v>
      </c>
      <c r="F29" s="8">
        <f t="shared" si="1"/>
        <v>419.88</v>
      </c>
      <c r="G29" s="9">
        <f t="shared" si="5"/>
        <v>2939.16</v>
      </c>
      <c r="H29" s="37">
        <v>3354.4</v>
      </c>
      <c r="I29" s="10"/>
      <c r="J29" s="10"/>
      <c r="K29" s="119"/>
      <c r="L29" s="19"/>
      <c r="M29" s="13">
        <f t="shared" si="6"/>
        <v>1645.6</v>
      </c>
      <c r="N29" s="14">
        <f>H29+M29</f>
        <v>5000</v>
      </c>
      <c r="O29" s="34" t="s">
        <v>47</v>
      </c>
      <c r="P29" s="33">
        <f t="shared" si="3"/>
        <v>164.56</v>
      </c>
      <c r="Q29" s="33">
        <f t="shared" si="4"/>
        <v>177.72480000000002</v>
      </c>
    </row>
    <row r="30" spans="1:17" s="55" customFormat="1" x14ac:dyDescent="0.25">
      <c r="A30" s="5">
        <v>252</v>
      </c>
      <c r="B30" s="6" t="s">
        <v>53</v>
      </c>
      <c r="C30" s="7">
        <v>5000</v>
      </c>
      <c r="D30" s="7">
        <v>419.88</v>
      </c>
      <c r="E30" s="8">
        <f t="shared" si="0"/>
        <v>2519.2799999999997</v>
      </c>
      <c r="F30" s="8">
        <f t="shared" si="1"/>
        <v>419.88</v>
      </c>
      <c r="G30" s="9">
        <f t="shared" si="5"/>
        <v>2939.16</v>
      </c>
      <c r="H30" s="37">
        <v>3354.2</v>
      </c>
      <c r="I30" s="10">
        <v>225</v>
      </c>
      <c r="J30" s="10">
        <v>105</v>
      </c>
      <c r="K30" s="120"/>
      <c r="L30" s="12"/>
      <c r="M30" s="22">
        <f>C30-H30-I30+L30-K30-J30</f>
        <v>1315.8000000000002</v>
      </c>
      <c r="N30" s="14">
        <f t="shared" si="2"/>
        <v>4670</v>
      </c>
      <c r="O30" s="5">
        <v>0.03</v>
      </c>
      <c r="P30" s="33">
        <f t="shared" si="3"/>
        <v>131.58000000000001</v>
      </c>
      <c r="Q30" s="33">
        <f t="shared" si="4"/>
        <v>142.10640000000004</v>
      </c>
    </row>
    <row r="31" spans="1:17" s="55" customFormat="1" x14ac:dyDescent="0.25">
      <c r="A31" s="5">
        <v>260</v>
      </c>
      <c r="B31" s="6" t="s">
        <v>54</v>
      </c>
      <c r="C31" s="7">
        <v>5000</v>
      </c>
      <c r="D31" s="7">
        <v>419.88</v>
      </c>
      <c r="E31" s="8">
        <f t="shared" si="0"/>
        <v>2519.2799999999997</v>
      </c>
      <c r="F31" s="8">
        <f t="shared" si="1"/>
        <v>419.88</v>
      </c>
      <c r="G31" s="9">
        <f t="shared" si="5"/>
        <v>2939.16</v>
      </c>
      <c r="H31" s="37">
        <v>3354.2</v>
      </c>
      <c r="I31" s="10">
        <v>225</v>
      </c>
      <c r="J31" s="10">
        <v>105</v>
      </c>
      <c r="K31" s="119"/>
      <c r="L31" s="19"/>
      <c r="M31" s="13">
        <f t="shared" si="6"/>
        <v>1315.8000000000002</v>
      </c>
      <c r="N31" s="14">
        <f t="shared" si="2"/>
        <v>4670</v>
      </c>
      <c r="O31" s="5" t="s">
        <v>48</v>
      </c>
      <c r="P31" s="33">
        <f t="shared" si="3"/>
        <v>131.58000000000001</v>
      </c>
      <c r="Q31" s="33">
        <f t="shared" si="4"/>
        <v>142.10640000000004</v>
      </c>
    </row>
    <row r="32" spans="1:17" s="55" customFormat="1" x14ac:dyDescent="0.25">
      <c r="A32" s="5">
        <v>261</v>
      </c>
      <c r="B32" s="6" t="s">
        <v>55</v>
      </c>
      <c r="C32" s="7">
        <v>4000</v>
      </c>
      <c r="D32" s="7">
        <v>419.88</v>
      </c>
      <c r="E32" s="8">
        <f t="shared" si="0"/>
        <v>2519.2799999999997</v>
      </c>
      <c r="F32" s="8">
        <f t="shared" si="1"/>
        <v>419.88</v>
      </c>
      <c r="G32" s="9">
        <f t="shared" si="5"/>
        <v>2939.16</v>
      </c>
      <c r="H32" s="37">
        <v>2370.8000000000002</v>
      </c>
      <c r="I32" s="10">
        <v>225</v>
      </c>
      <c r="J32" s="10">
        <v>140</v>
      </c>
      <c r="K32" s="123">
        <v>913.35</v>
      </c>
      <c r="L32" s="19"/>
      <c r="M32" s="13">
        <f t="shared" si="6"/>
        <v>350.8499999999998</v>
      </c>
      <c r="N32" s="14">
        <f t="shared" si="2"/>
        <v>2721.65</v>
      </c>
      <c r="O32" s="5">
        <v>0.03</v>
      </c>
      <c r="P32" s="33">
        <f t="shared" si="3"/>
        <v>35.08499999999998</v>
      </c>
      <c r="Q32" s="33">
        <f t="shared" si="4"/>
        <v>37.891799999999982</v>
      </c>
    </row>
    <row r="33" spans="1:17" s="55" customFormat="1" x14ac:dyDescent="0.25">
      <c r="A33" s="5">
        <v>267</v>
      </c>
      <c r="B33" s="6" t="s">
        <v>56</v>
      </c>
      <c r="C33" s="7">
        <v>5000</v>
      </c>
      <c r="D33" s="7">
        <v>419.88</v>
      </c>
      <c r="E33" s="8">
        <f t="shared" si="0"/>
        <v>2519.2799999999997</v>
      </c>
      <c r="F33" s="8">
        <f t="shared" si="1"/>
        <v>419.88</v>
      </c>
      <c r="G33" s="9">
        <f t="shared" si="5"/>
        <v>2939.16</v>
      </c>
      <c r="H33" s="37">
        <v>2614</v>
      </c>
      <c r="I33" s="10"/>
      <c r="J33" s="10">
        <v>105</v>
      </c>
      <c r="K33" s="123">
        <f>435.88+293.92</f>
        <v>729.8</v>
      </c>
      <c r="L33" s="12"/>
      <c r="M33" s="13">
        <f t="shared" si="6"/>
        <v>1551.2</v>
      </c>
      <c r="N33" s="14">
        <f t="shared" si="2"/>
        <v>4165.2</v>
      </c>
      <c r="O33" s="5" t="s">
        <v>47</v>
      </c>
      <c r="P33" s="33">
        <f t="shared" si="3"/>
        <v>155.12</v>
      </c>
      <c r="Q33" s="33">
        <f t="shared" si="4"/>
        <v>167.52960000000002</v>
      </c>
    </row>
    <row r="34" spans="1:17" s="55" customFormat="1" x14ac:dyDescent="0.25">
      <c r="A34" s="5">
        <v>269</v>
      </c>
      <c r="B34" s="6" t="s">
        <v>58</v>
      </c>
      <c r="C34" s="7">
        <v>7000</v>
      </c>
      <c r="D34" s="7">
        <v>419.88</v>
      </c>
      <c r="E34" s="8">
        <f t="shared" si="0"/>
        <v>2519.2799999999997</v>
      </c>
      <c r="F34" s="8">
        <f t="shared" si="1"/>
        <v>419.88</v>
      </c>
      <c r="G34" s="9">
        <f t="shared" si="5"/>
        <v>2939.16</v>
      </c>
      <c r="H34" s="37">
        <v>3120.4</v>
      </c>
      <c r="I34" s="10"/>
      <c r="J34" s="10"/>
      <c r="K34" s="120">
        <v>293.92</v>
      </c>
      <c r="L34" s="19"/>
      <c r="M34" s="13">
        <f t="shared" si="6"/>
        <v>3585.68</v>
      </c>
      <c r="N34" s="14">
        <f>H34+M34</f>
        <v>6706.08</v>
      </c>
      <c r="O34" s="5" t="s">
        <v>118</v>
      </c>
      <c r="P34" s="33">
        <f t="shared" si="3"/>
        <v>358.56799999999998</v>
      </c>
      <c r="Q34" s="33">
        <f t="shared" si="4"/>
        <v>387.25344000000001</v>
      </c>
    </row>
    <row r="35" spans="1:17" s="55" customFormat="1" x14ac:dyDescent="0.25">
      <c r="A35" s="5">
        <v>271</v>
      </c>
      <c r="B35" s="6" t="s">
        <v>59</v>
      </c>
      <c r="C35" s="7">
        <v>4000</v>
      </c>
      <c r="D35" s="7">
        <v>419.88</v>
      </c>
      <c r="E35" s="8">
        <f t="shared" si="0"/>
        <v>2519.2799999999997</v>
      </c>
      <c r="F35" s="8">
        <f t="shared" si="1"/>
        <v>419.88</v>
      </c>
      <c r="G35" s="9">
        <f t="shared" si="5"/>
        <v>2939.16</v>
      </c>
      <c r="H35" s="37">
        <v>3354.2</v>
      </c>
      <c r="I35" s="10">
        <v>375</v>
      </c>
      <c r="J35" s="10">
        <v>140</v>
      </c>
      <c r="K35" s="120"/>
      <c r="L35" s="19"/>
      <c r="M35" s="22">
        <f t="shared" si="6"/>
        <v>130.80000000000018</v>
      </c>
      <c r="N35" s="14">
        <f t="shared" si="2"/>
        <v>3485</v>
      </c>
      <c r="O35" s="5">
        <v>0.03</v>
      </c>
      <c r="P35" s="33">
        <f t="shared" si="3"/>
        <v>13.08000000000002</v>
      </c>
      <c r="Q35" s="33">
        <f t="shared" si="4"/>
        <v>14.126400000000022</v>
      </c>
    </row>
    <row r="36" spans="1:17" s="55" customFormat="1" x14ac:dyDescent="0.25">
      <c r="A36" s="5">
        <v>275</v>
      </c>
      <c r="B36" s="6" t="s">
        <v>60</v>
      </c>
      <c r="C36" s="7">
        <v>3375</v>
      </c>
      <c r="D36" s="7">
        <v>419.88</v>
      </c>
      <c r="E36" s="8">
        <f t="shared" si="0"/>
        <v>2519.2799999999997</v>
      </c>
      <c r="F36" s="8">
        <f t="shared" ref="F36:F62" si="7">$D36</f>
        <v>419.88</v>
      </c>
      <c r="G36" s="9">
        <f t="shared" si="5"/>
        <v>2939.16</v>
      </c>
      <c r="H36" s="37">
        <v>3354.4</v>
      </c>
      <c r="I36" s="10"/>
      <c r="J36" s="10"/>
      <c r="K36" s="120"/>
      <c r="L36" s="19"/>
      <c r="M36" s="13">
        <f t="shared" si="6"/>
        <v>20.599999999999909</v>
      </c>
      <c r="N36" s="14">
        <f>H36+M36</f>
        <v>3375</v>
      </c>
      <c r="O36" s="5">
        <v>0.03</v>
      </c>
      <c r="P36" s="33">
        <f>+M36*0.1</f>
        <v>2.0599999999999912</v>
      </c>
      <c r="Q36" s="33">
        <f>+P36*1.08</f>
        <v>2.2247999999999908</v>
      </c>
    </row>
    <row r="37" spans="1:17" s="55" customFormat="1" x14ac:dyDescent="0.25">
      <c r="A37" s="5">
        <v>276</v>
      </c>
      <c r="B37" s="6" t="s">
        <v>61</v>
      </c>
      <c r="C37" s="7">
        <v>5000</v>
      </c>
      <c r="D37" s="7">
        <v>419.88</v>
      </c>
      <c r="E37" s="8">
        <f t="shared" si="0"/>
        <v>2519.2799999999997</v>
      </c>
      <c r="F37" s="8">
        <f t="shared" si="7"/>
        <v>419.88</v>
      </c>
      <c r="G37" s="9">
        <f t="shared" si="5"/>
        <v>2939.16</v>
      </c>
      <c r="H37" s="37">
        <v>3354.2</v>
      </c>
      <c r="I37" s="10">
        <v>375</v>
      </c>
      <c r="J37" s="10">
        <v>105</v>
      </c>
      <c r="K37" s="119"/>
      <c r="L37" s="19"/>
      <c r="M37" s="13">
        <f t="shared" si="6"/>
        <v>1165.8000000000002</v>
      </c>
      <c r="N37" s="14">
        <f t="shared" si="2"/>
        <v>4520</v>
      </c>
      <c r="O37" s="5">
        <v>0.03</v>
      </c>
      <c r="P37" s="33">
        <f t="shared" si="3"/>
        <v>116.58000000000003</v>
      </c>
      <c r="Q37" s="33">
        <f t="shared" si="4"/>
        <v>125.90640000000003</v>
      </c>
    </row>
    <row r="38" spans="1:17" s="55" customFormat="1" x14ac:dyDescent="0.25">
      <c r="A38" s="5">
        <v>279</v>
      </c>
      <c r="B38" s="6" t="s">
        <v>63</v>
      </c>
      <c r="C38" s="7">
        <v>4500</v>
      </c>
      <c r="D38" s="7">
        <v>419.88</v>
      </c>
      <c r="E38" s="8">
        <f t="shared" si="0"/>
        <v>2519.2799999999997</v>
      </c>
      <c r="F38" s="8">
        <f t="shared" si="7"/>
        <v>419.88</v>
      </c>
      <c r="G38" s="9">
        <f t="shared" si="5"/>
        <v>2939.16</v>
      </c>
      <c r="H38" s="37">
        <v>3354.2</v>
      </c>
      <c r="I38" s="10"/>
      <c r="J38" s="10">
        <v>70</v>
      </c>
      <c r="K38" s="120"/>
      <c r="L38" s="19"/>
      <c r="M38" s="22">
        <f t="shared" si="6"/>
        <v>1075.8000000000002</v>
      </c>
      <c r="N38" s="14">
        <f t="shared" si="2"/>
        <v>4430</v>
      </c>
      <c r="O38" s="5" t="s">
        <v>118</v>
      </c>
      <c r="P38" s="33">
        <f t="shared" si="3"/>
        <v>107.58000000000003</v>
      </c>
      <c r="Q38" s="33">
        <f t="shared" si="4"/>
        <v>116.18640000000003</v>
      </c>
    </row>
    <row r="39" spans="1:17" s="55" customFormat="1" x14ac:dyDescent="0.25">
      <c r="A39" s="5">
        <v>280</v>
      </c>
      <c r="B39" s="6" t="s">
        <v>64</v>
      </c>
      <c r="C39" s="7">
        <v>5000</v>
      </c>
      <c r="D39" s="7">
        <v>419.88</v>
      </c>
      <c r="E39" s="8">
        <f t="shared" si="0"/>
        <v>2519.2799999999997</v>
      </c>
      <c r="F39" s="8">
        <f t="shared" si="7"/>
        <v>419.88</v>
      </c>
      <c r="G39" s="9">
        <f t="shared" si="5"/>
        <v>2939.16</v>
      </c>
      <c r="H39" s="37">
        <v>3354.4</v>
      </c>
      <c r="I39" s="10"/>
      <c r="J39" s="10"/>
      <c r="K39" s="119"/>
      <c r="L39" s="19"/>
      <c r="M39" s="13">
        <f t="shared" si="6"/>
        <v>1645.6</v>
      </c>
      <c r="N39" s="14">
        <f t="shared" si="2"/>
        <v>5000</v>
      </c>
      <c r="O39" s="5" t="s">
        <v>119</v>
      </c>
      <c r="P39" s="33">
        <f t="shared" si="3"/>
        <v>164.56</v>
      </c>
      <c r="Q39" s="33">
        <f t="shared" si="4"/>
        <v>177.72480000000002</v>
      </c>
    </row>
    <row r="40" spans="1:17" s="55" customFormat="1" x14ac:dyDescent="0.25">
      <c r="A40" s="5">
        <v>281</v>
      </c>
      <c r="B40" s="6" t="s">
        <v>65</v>
      </c>
      <c r="C40" s="7">
        <v>8750</v>
      </c>
      <c r="D40" s="7">
        <v>419.88</v>
      </c>
      <c r="E40" s="8">
        <f t="shared" si="0"/>
        <v>2519.2799999999997</v>
      </c>
      <c r="F40" s="8">
        <f t="shared" si="7"/>
        <v>419.88</v>
      </c>
      <c r="G40" s="9">
        <f t="shared" si="5"/>
        <v>2939.16</v>
      </c>
      <c r="H40" s="37">
        <v>3354.4</v>
      </c>
      <c r="I40" s="10"/>
      <c r="J40" s="10"/>
      <c r="K40" s="119"/>
      <c r="L40" s="19"/>
      <c r="M40" s="13">
        <f t="shared" si="6"/>
        <v>5395.6</v>
      </c>
      <c r="N40" s="14">
        <f t="shared" si="2"/>
        <v>8750</v>
      </c>
      <c r="O40" s="5">
        <v>0.03</v>
      </c>
      <c r="P40" s="33">
        <f t="shared" si="3"/>
        <v>539.56000000000006</v>
      </c>
      <c r="Q40" s="33">
        <f t="shared" si="4"/>
        <v>582.72480000000007</v>
      </c>
    </row>
    <row r="41" spans="1:17" s="55" customFormat="1" x14ac:dyDescent="0.25">
      <c r="A41" s="5">
        <v>283</v>
      </c>
      <c r="B41" s="6" t="s">
        <v>66</v>
      </c>
      <c r="C41" s="7">
        <v>5000</v>
      </c>
      <c r="D41" s="7">
        <v>419.88</v>
      </c>
      <c r="E41" s="8">
        <f t="shared" si="0"/>
        <v>2519.2799999999997</v>
      </c>
      <c r="F41" s="8">
        <f t="shared" si="7"/>
        <v>419.88</v>
      </c>
      <c r="G41" s="9">
        <f t="shared" si="5"/>
        <v>2939.16</v>
      </c>
      <c r="H41" s="37">
        <v>3354.2</v>
      </c>
      <c r="I41" s="10"/>
      <c r="J41" s="10">
        <v>140</v>
      </c>
      <c r="K41" s="120"/>
      <c r="L41" s="12"/>
      <c r="M41" s="13">
        <f t="shared" si="6"/>
        <v>1505.8000000000002</v>
      </c>
      <c r="N41" s="14">
        <f t="shared" si="2"/>
        <v>4860</v>
      </c>
      <c r="O41" s="5">
        <v>0.03</v>
      </c>
      <c r="P41" s="33">
        <f t="shared" si="3"/>
        <v>150.58000000000001</v>
      </c>
      <c r="Q41" s="33">
        <f t="shared" si="4"/>
        <v>162.62640000000002</v>
      </c>
    </row>
    <row r="42" spans="1:17" s="55" customFormat="1" x14ac:dyDescent="0.25">
      <c r="A42" s="5">
        <v>284</v>
      </c>
      <c r="B42" s="6" t="s">
        <v>67</v>
      </c>
      <c r="C42" s="7">
        <v>4000</v>
      </c>
      <c r="D42" s="7">
        <v>419.88</v>
      </c>
      <c r="E42" s="8">
        <f t="shared" si="0"/>
        <v>2519.2799999999997</v>
      </c>
      <c r="F42" s="8">
        <f t="shared" si="7"/>
        <v>419.88</v>
      </c>
      <c r="G42" s="9">
        <f t="shared" si="5"/>
        <v>2939.16</v>
      </c>
      <c r="H42" s="37">
        <v>3354.2</v>
      </c>
      <c r="I42" s="10">
        <v>150</v>
      </c>
      <c r="J42" s="10">
        <v>175</v>
      </c>
      <c r="K42" s="119"/>
      <c r="L42" s="19"/>
      <c r="M42" s="13">
        <f t="shared" si="6"/>
        <v>320.80000000000018</v>
      </c>
      <c r="N42" s="14">
        <f t="shared" si="2"/>
        <v>3675</v>
      </c>
      <c r="O42" s="5" t="s">
        <v>48</v>
      </c>
      <c r="P42" s="33">
        <f t="shared" si="3"/>
        <v>32.08000000000002</v>
      </c>
      <c r="Q42" s="33">
        <f t="shared" si="4"/>
        <v>34.646400000000021</v>
      </c>
    </row>
    <row r="43" spans="1:17" s="55" customFormat="1" x14ac:dyDescent="0.25">
      <c r="A43" s="5">
        <v>285</v>
      </c>
      <c r="B43" s="6" t="s">
        <v>68</v>
      </c>
      <c r="C43" s="7">
        <v>4000</v>
      </c>
      <c r="D43" s="7">
        <v>419.88</v>
      </c>
      <c r="E43" s="8">
        <f t="shared" si="0"/>
        <v>2519.2799999999997</v>
      </c>
      <c r="F43" s="8">
        <f t="shared" si="7"/>
        <v>419.88</v>
      </c>
      <c r="G43" s="9">
        <f t="shared" si="5"/>
        <v>2939.16</v>
      </c>
      <c r="H43" s="37">
        <v>3120.2</v>
      </c>
      <c r="I43" s="10">
        <v>150</v>
      </c>
      <c r="J43" s="10">
        <v>35</v>
      </c>
      <c r="K43" s="120">
        <v>293.92</v>
      </c>
      <c r="L43" s="19"/>
      <c r="M43" s="13">
        <f>C43-H43-I43+L43-K43-J43</f>
        <v>400.88000000000017</v>
      </c>
      <c r="N43" s="14">
        <f t="shared" si="2"/>
        <v>3521.08</v>
      </c>
      <c r="O43" s="5" t="s">
        <v>48</v>
      </c>
      <c r="P43" s="33">
        <f t="shared" si="3"/>
        <v>40.088000000000022</v>
      </c>
      <c r="Q43" s="33">
        <f t="shared" si="4"/>
        <v>43.295040000000029</v>
      </c>
    </row>
    <row r="44" spans="1:17" s="55" customFormat="1" x14ac:dyDescent="0.25">
      <c r="A44" s="5">
        <v>286</v>
      </c>
      <c r="B44" s="6" t="s">
        <v>69</v>
      </c>
      <c r="C44" s="7">
        <v>4000</v>
      </c>
      <c r="D44" s="7">
        <v>419.88</v>
      </c>
      <c r="E44" s="8">
        <f t="shared" si="0"/>
        <v>2519.2799999999997</v>
      </c>
      <c r="F44" s="8">
        <f t="shared" si="7"/>
        <v>419.88</v>
      </c>
      <c r="G44" s="9">
        <f t="shared" si="5"/>
        <v>2939.16</v>
      </c>
      <c r="H44" s="37">
        <v>3354.4</v>
      </c>
      <c r="I44" s="10">
        <v>375</v>
      </c>
      <c r="J44" s="10"/>
      <c r="K44" s="119"/>
      <c r="L44" s="19"/>
      <c r="M44" s="13">
        <f t="shared" si="6"/>
        <v>270.59999999999991</v>
      </c>
      <c r="N44" s="14">
        <f t="shared" si="2"/>
        <v>3625</v>
      </c>
      <c r="O44" s="5" t="s">
        <v>118</v>
      </c>
      <c r="P44" s="33">
        <f t="shared" si="3"/>
        <v>27.059999999999992</v>
      </c>
      <c r="Q44" s="33">
        <f t="shared" si="4"/>
        <v>29.224799999999991</v>
      </c>
    </row>
    <row r="45" spans="1:17" s="55" customFormat="1" x14ac:dyDescent="0.25">
      <c r="A45" s="5">
        <v>287</v>
      </c>
      <c r="B45" s="6" t="s">
        <v>72</v>
      </c>
      <c r="C45" s="7">
        <v>5000</v>
      </c>
      <c r="D45" s="7">
        <v>419.88</v>
      </c>
      <c r="E45" s="8">
        <f t="shared" si="0"/>
        <v>2519.2799999999997</v>
      </c>
      <c r="F45" s="8">
        <f t="shared" si="7"/>
        <v>419.88</v>
      </c>
      <c r="G45" s="9">
        <f t="shared" si="5"/>
        <v>2939.16</v>
      </c>
      <c r="H45" s="37">
        <v>3120.2</v>
      </c>
      <c r="I45" s="10">
        <v>225</v>
      </c>
      <c r="J45" s="10">
        <v>105</v>
      </c>
      <c r="K45" s="120">
        <v>293.92</v>
      </c>
      <c r="L45" s="19"/>
      <c r="M45" s="13">
        <f>C45-H45-I45+L45-K45-J45</f>
        <v>1255.8800000000001</v>
      </c>
      <c r="N45" s="14">
        <f t="shared" si="2"/>
        <v>4376.08</v>
      </c>
      <c r="O45" s="5" t="s">
        <v>118</v>
      </c>
      <c r="P45" s="33">
        <f t="shared" si="3"/>
        <v>125.58800000000002</v>
      </c>
      <c r="Q45" s="33">
        <f t="shared" si="4"/>
        <v>135.63504000000003</v>
      </c>
    </row>
    <row r="46" spans="1:17" s="55" customFormat="1" x14ac:dyDescent="0.25">
      <c r="A46" s="5">
        <v>288</v>
      </c>
      <c r="B46" s="6" t="s">
        <v>73</v>
      </c>
      <c r="C46" s="7">
        <v>3500</v>
      </c>
      <c r="D46" s="7">
        <v>419.88</v>
      </c>
      <c r="E46" s="8">
        <f t="shared" si="0"/>
        <v>2519.2799999999997</v>
      </c>
      <c r="F46" s="8">
        <f t="shared" si="7"/>
        <v>419.88</v>
      </c>
      <c r="G46" s="9">
        <f t="shared" si="5"/>
        <v>2939.16</v>
      </c>
      <c r="H46" s="37">
        <v>3354.2</v>
      </c>
      <c r="I46" s="10"/>
      <c r="J46" s="10"/>
      <c r="K46" s="119"/>
      <c r="L46" s="19"/>
      <c r="M46" s="13">
        <f>C46-H46-I46+L46-K46-J46</f>
        <v>145.80000000000018</v>
      </c>
      <c r="N46" s="14">
        <f t="shared" si="2"/>
        <v>3500</v>
      </c>
      <c r="O46" s="5">
        <v>0.03</v>
      </c>
      <c r="P46" s="33">
        <f t="shared" si="3"/>
        <v>14.58000000000002</v>
      </c>
      <c r="Q46" s="33">
        <f t="shared" si="4"/>
        <v>15.746400000000023</v>
      </c>
    </row>
    <row r="47" spans="1:17" x14ac:dyDescent="0.25">
      <c r="A47" s="5">
        <v>289</v>
      </c>
      <c r="B47" s="6" t="s">
        <v>74</v>
      </c>
      <c r="C47" s="7">
        <v>3500</v>
      </c>
      <c r="D47" s="7">
        <v>419.88</v>
      </c>
      <c r="E47" s="8">
        <f t="shared" si="0"/>
        <v>2519.2799999999997</v>
      </c>
      <c r="F47" s="8">
        <f t="shared" si="7"/>
        <v>419.88</v>
      </c>
      <c r="G47" s="9">
        <f t="shared" si="5"/>
        <v>2939.16</v>
      </c>
      <c r="H47" s="37">
        <v>3354.2</v>
      </c>
      <c r="I47" s="10"/>
      <c r="J47" s="10"/>
      <c r="K47" s="119"/>
      <c r="L47" s="19"/>
      <c r="M47" s="13">
        <f t="shared" si="6"/>
        <v>145.80000000000018</v>
      </c>
      <c r="N47" s="14">
        <f t="shared" si="2"/>
        <v>3500</v>
      </c>
      <c r="O47" s="5">
        <v>0.03</v>
      </c>
      <c r="P47" s="33">
        <f t="shared" si="3"/>
        <v>14.58000000000002</v>
      </c>
      <c r="Q47" s="33">
        <f t="shared" si="4"/>
        <v>15.746400000000023</v>
      </c>
    </row>
    <row r="48" spans="1:17" x14ac:dyDescent="0.25">
      <c r="A48" s="5">
        <v>291</v>
      </c>
      <c r="B48" s="6" t="s">
        <v>78</v>
      </c>
      <c r="C48" s="7">
        <v>4250</v>
      </c>
      <c r="D48" s="7">
        <v>419.88</v>
      </c>
      <c r="E48" s="8">
        <f t="shared" si="0"/>
        <v>2519.2799999999997</v>
      </c>
      <c r="F48" s="8">
        <f t="shared" si="7"/>
        <v>419.88</v>
      </c>
      <c r="G48" s="9">
        <f t="shared" si="5"/>
        <v>2939.16</v>
      </c>
      <c r="H48" s="37">
        <v>3354.4</v>
      </c>
      <c r="I48" s="10"/>
      <c r="J48" s="10">
        <v>70</v>
      </c>
      <c r="K48" s="119"/>
      <c r="L48" s="19"/>
      <c r="M48" s="13">
        <f t="shared" si="6"/>
        <v>825.59999999999991</v>
      </c>
      <c r="N48" s="14">
        <f t="shared" si="2"/>
        <v>4180</v>
      </c>
      <c r="O48" s="5">
        <v>0.03</v>
      </c>
      <c r="P48" s="33">
        <f t="shared" si="3"/>
        <v>82.56</v>
      </c>
      <c r="Q48" s="33">
        <f t="shared" si="4"/>
        <v>89.164800000000014</v>
      </c>
    </row>
    <row r="49" spans="1:18" x14ac:dyDescent="0.25">
      <c r="A49" s="5">
        <v>293</v>
      </c>
      <c r="B49" s="6" t="s">
        <v>89</v>
      </c>
      <c r="C49" s="7">
        <v>4000</v>
      </c>
      <c r="D49" s="7">
        <v>419.88</v>
      </c>
      <c r="E49" s="8">
        <f t="shared" si="0"/>
        <v>2519.2799999999997</v>
      </c>
      <c r="F49" s="8">
        <f t="shared" si="7"/>
        <v>419.88</v>
      </c>
      <c r="G49" s="9">
        <f t="shared" si="5"/>
        <v>2939.16</v>
      </c>
      <c r="H49" s="37">
        <v>3354.2</v>
      </c>
      <c r="I49" s="10">
        <v>375</v>
      </c>
      <c r="J49" s="10">
        <v>140</v>
      </c>
      <c r="K49" s="119"/>
      <c r="L49" s="12"/>
      <c r="M49" s="13">
        <f t="shared" si="6"/>
        <v>130.80000000000018</v>
      </c>
      <c r="N49" s="14">
        <f t="shared" si="2"/>
        <v>3485</v>
      </c>
      <c r="O49" s="5">
        <v>0.03</v>
      </c>
      <c r="P49" s="33">
        <f t="shared" si="3"/>
        <v>13.08000000000002</v>
      </c>
      <c r="Q49" s="33">
        <f t="shared" si="4"/>
        <v>14.126400000000022</v>
      </c>
    </row>
    <row r="50" spans="1:18" x14ac:dyDescent="0.25">
      <c r="A50" s="5">
        <v>294</v>
      </c>
      <c r="B50" s="6" t="s">
        <v>91</v>
      </c>
      <c r="C50" s="7">
        <v>4000</v>
      </c>
      <c r="D50" s="7">
        <v>419.88</v>
      </c>
      <c r="E50" s="8">
        <f t="shared" si="0"/>
        <v>2519.2799999999997</v>
      </c>
      <c r="F50" s="8">
        <f t="shared" si="7"/>
        <v>419.88</v>
      </c>
      <c r="G50" s="9">
        <f t="shared" si="5"/>
        <v>2939.16</v>
      </c>
      <c r="H50" s="37">
        <v>3354.2</v>
      </c>
      <c r="I50" s="10">
        <v>375</v>
      </c>
      <c r="J50" s="10">
        <v>140</v>
      </c>
      <c r="K50" s="120"/>
      <c r="L50" s="12"/>
      <c r="M50" s="13">
        <f t="shared" si="6"/>
        <v>130.80000000000018</v>
      </c>
      <c r="N50" s="14">
        <f t="shared" si="2"/>
        <v>3485</v>
      </c>
      <c r="O50" s="5">
        <v>0.03</v>
      </c>
      <c r="P50" s="33">
        <f t="shared" si="3"/>
        <v>13.08000000000002</v>
      </c>
      <c r="Q50" s="33">
        <f t="shared" si="4"/>
        <v>14.126400000000022</v>
      </c>
    </row>
    <row r="51" spans="1:18" x14ac:dyDescent="0.25">
      <c r="A51" s="5">
        <v>295</v>
      </c>
      <c r="B51" s="6" t="s">
        <v>104</v>
      </c>
      <c r="C51" s="7">
        <v>5500</v>
      </c>
      <c r="D51" s="7">
        <v>419.88</v>
      </c>
      <c r="E51" s="8">
        <f t="shared" si="0"/>
        <v>2519.2799999999997</v>
      </c>
      <c r="F51" s="8">
        <f t="shared" si="7"/>
        <v>419.88</v>
      </c>
      <c r="G51" s="9">
        <f t="shared" si="5"/>
        <v>2939.16</v>
      </c>
      <c r="H51" s="37">
        <v>3354.2</v>
      </c>
      <c r="I51" s="10"/>
      <c r="J51" s="10">
        <v>175</v>
      </c>
      <c r="K51" s="120"/>
      <c r="L51" s="12"/>
      <c r="M51" s="22">
        <f t="shared" si="6"/>
        <v>1970.8000000000002</v>
      </c>
      <c r="N51" s="14">
        <f t="shared" si="2"/>
        <v>5325</v>
      </c>
      <c r="O51" s="5" t="s">
        <v>118</v>
      </c>
      <c r="P51" s="33">
        <f t="shared" si="3"/>
        <v>197.08000000000004</v>
      </c>
      <c r="Q51" s="33">
        <f t="shared" si="4"/>
        <v>212.84640000000005</v>
      </c>
    </row>
    <row r="52" spans="1:18" x14ac:dyDescent="0.25">
      <c r="A52" s="5">
        <v>298</v>
      </c>
      <c r="B52" s="6" t="s">
        <v>115</v>
      </c>
      <c r="C52" s="7">
        <v>5000</v>
      </c>
      <c r="D52" s="7">
        <v>419.88</v>
      </c>
      <c r="E52" s="8">
        <f t="shared" si="0"/>
        <v>2519.2799999999997</v>
      </c>
      <c r="F52" s="8">
        <f t="shared" si="7"/>
        <v>419.88</v>
      </c>
      <c r="G52" s="9">
        <f t="shared" si="5"/>
        <v>2939.16</v>
      </c>
      <c r="H52" s="37">
        <v>1822.4</v>
      </c>
      <c r="I52" s="10">
        <v>375</v>
      </c>
      <c r="J52" s="10">
        <v>140</v>
      </c>
      <c r="K52" s="123">
        <f>1461.94</f>
        <v>1461.94</v>
      </c>
      <c r="L52" s="12">
        <v>5000</v>
      </c>
      <c r="M52" s="22">
        <f t="shared" si="6"/>
        <v>6200.66</v>
      </c>
      <c r="N52" s="14">
        <f t="shared" si="2"/>
        <v>8023.0599999999995</v>
      </c>
      <c r="O52" s="5">
        <v>0.03</v>
      </c>
      <c r="P52" s="33">
        <f t="shared" si="3"/>
        <v>620.06600000000003</v>
      </c>
      <c r="Q52" s="33">
        <f t="shared" si="4"/>
        <v>669.67128000000002</v>
      </c>
    </row>
    <row r="53" spans="1:18" s="55" customFormat="1" x14ac:dyDescent="0.25">
      <c r="A53" s="5">
        <v>300</v>
      </c>
      <c r="B53" s="6" t="s">
        <v>121</v>
      </c>
      <c r="C53" s="7">
        <v>6250</v>
      </c>
      <c r="D53" s="7">
        <v>419.88</v>
      </c>
      <c r="E53" s="8">
        <f t="shared" si="0"/>
        <v>2519.2799999999997</v>
      </c>
      <c r="F53" s="8">
        <f t="shared" si="7"/>
        <v>419.88</v>
      </c>
      <c r="G53" s="9">
        <f t="shared" si="5"/>
        <v>2939.16</v>
      </c>
      <c r="H53" s="37">
        <v>3354.4</v>
      </c>
      <c r="I53" s="10"/>
      <c r="J53" s="10"/>
      <c r="K53" s="119"/>
      <c r="L53" s="12"/>
      <c r="M53" s="22">
        <f t="shared" si="6"/>
        <v>2895.6</v>
      </c>
      <c r="N53" s="14">
        <f t="shared" si="2"/>
        <v>6250</v>
      </c>
      <c r="O53" s="5">
        <v>0.03</v>
      </c>
      <c r="P53" s="33">
        <f t="shared" si="3"/>
        <v>289.56</v>
      </c>
      <c r="Q53" s="33">
        <f t="shared" si="4"/>
        <v>312.72480000000002</v>
      </c>
    </row>
    <row r="54" spans="1:18" s="55" customFormat="1" x14ac:dyDescent="0.25">
      <c r="A54" s="5">
        <v>301</v>
      </c>
      <c r="B54" s="6" t="s">
        <v>124</v>
      </c>
      <c r="C54" s="7">
        <v>5000</v>
      </c>
      <c r="D54" s="7">
        <v>419.88</v>
      </c>
      <c r="E54" s="8">
        <f t="shared" si="0"/>
        <v>2519.2799999999997</v>
      </c>
      <c r="F54" s="8">
        <f t="shared" si="7"/>
        <v>419.88</v>
      </c>
      <c r="G54" s="9">
        <f t="shared" si="5"/>
        <v>2939.16</v>
      </c>
      <c r="H54" s="37">
        <v>3354.2</v>
      </c>
      <c r="I54" s="10"/>
      <c r="J54" s="10"/>
      <c r="K54" s="119"/>
      <c r="L54" s="12"/>
      <c r="M54" s="22">
        <f t="shared" si="6"/>
        <v>1645.8000000000002</v>
      </c>
      <c r="N54" s="14">
        <f t="shared" si="2"/>
        <v>5000</v>
      </c>
      <c r="O54" s="5">
        <v>0.03</v>
      </c>
      <c r="P54" s="33">
        <f t="shared" si="3"/>
        <v>164.58000000000004</v>
      </c>
      <c r="Q54" s="33">
        <f t="shared" si="4"/>
        <v>177.74640000000005</v>
      </c>
    </row>
    <row r="55" spans="1:18" s="55" customFormat="1" x14ac:dyDescent="0.25">
      <c r="A55" s="5">
        <v>302</v>
      </c>
      <c r="B55" s="6" t="s">
        <v>128</v>
      </c>
      <c r="C55" s="7">
        <v>5000</v>
      </c>
      <c r="D55" s="7">
        <v>419.88</v>
      </c>
      <c r="E55" s="8">
        <f t="shared" si="0"/>
        <v>2519.2799999999997</v>
      </c>
      <c r="F55" s="8">
        <f t="shared" si="7"/>
        <v>419.88</v>
      </c>
      <c r="G55" s="9">
        <f t="shared" si="5"/>
        <v>2939.16</v>
      </c>
      <c r="H55" s="37">
        <v>3354.2</v>
      </c>
      <c r="I55" s="10">
        <v>375</v>
      </c>
      <c r="J55" s="10">
        <v>70</v>
      </c>
      <c r="K55" s="119"/>
      <c r="L55" s="12"/>
      <c r="M55" s="22">
        <f t="shared" si="6"/>
        <v>1200.8000000000002</v>
      </c>
      <c r="N55" s="14">
        <f t="shared" si="2"/>
        <v>4555</v>
      </c>
      <c r="O55" s="5">
        <v>0.03</v>
      </c>
      <c r="P55" s="33">
        <f t="shared" si="3"/>
        <v>120.08000000000003</v>
      </c>
      <c r="Q55" s="33">
        <f t="shared" si="4"/>
        <v>129.68640000000005</v>
      </c>
    </row>
    <row r="56" spans="1:18" s="55" customFormat="1" x14ac:dyDescent="0.25">
      <c r="A56" s="5">
        <v>303</v>
      </c>
      <c r="B56" s="6" t="s">
        <v>129</v>
      </c>
      <c r="C56" s="7">
        <v>4000</v>
      </c>
      <c r="D56" s="7">
        <v>419.88</v>
      </c>
      <c r="E56" s="8">
        <f t="shared" si="0"/>
        <v>2519.2799999999997</v>
      </c>
      <c r="F56" s="8">
        <f t="shared" si="7"/>
        <v>419.88</v>
      </c>
      <c r="G56" s="9">
        <f t="shared" si="5"/>
        <v>2939.16</v>
      </c>
      <c r="H56" s="37">
        <v>3354.4</v>
      </c>
      <c r="I56" s="10"/>
      <c r="J56" s="10"/>
      <c r="K56" s="119"/>
      <c r="L56" s="12"/>
      <c r="M56" s="22">
        <f t="shared" ref="M56:M62" si="8">C56-H56-I56+L56-K56-J56</f>
        <v>645.59999999999991</v>
      </c>
      <c r="N56" s="14">
        <f t="shared" si="2"/>
        <v>4000</v>
      </c>
      <c r="O56" s="5">
        <v>0.03</v>
      </c>
      <c r="P56" s="33">
        <f t="shared" si="3"/>
        <v>64.559999999999988</v>
      </c>
      <c r="Q56" s="33">
        <f t="shared" si="4"/>
        <v>69.724799999999988</v>
      </c>
    </row>
    <row r="57" spans="1:18" s="55" customFormat="1" x14ac:dyDescent="0.25">
      <c r="A57" s="5">
        <v>304</v>
      </c>
      <c r="B57" s="6" t="s">
        <v>131</v>
      </c>
      <c r="C57" s="7">
        <v>4500</v>
      </c>
      <c r="D57" s="7">
        <v>419.88</v>
      </c>
      <c r="E57" s="8">
        <f t="shared" si="0"/>
        <v>2519.2799999999997</v>
      </c>
      <c r="F57" s="8">
        <f t="shared" si="7"/>
        <v>419.88</v>
      </c>
      <c r="G57" s="9">
        <f t="shared" si="5"/>
        <v>2939.16</v>
      </c>
      <c r="H57" s="37">
        <v>3354.2</v>
      </c>
      <c r="I57" s="10">
        <v>150</v>
      </c>
      <c r="J57" s="10">
        <v>140</v>
      </c>
      <c r="K57" s="119"/>
      <c r="L57" s="12"/>
      <c r="M57" s="22">
        <f t="shared" si="8"/>
        <v>855.80000000000018</v>
      </c>
      <c r="N57" s="14">
        <f t="shared" si="2"/>
        <v>4210</v>
      </c>
      <c r="O57" s="5">
        <v>0.03</v>
      </c>
      <c r="P57" s="33">
        <f t="shared" si="3"/>
        <v>85.580000000000027</v>
      </c>
      <c r="Q57" s="33">
        <f t="shared" si="4"/>
        <v>92.426400000000029</v>
      </c>
    </row>
    <row r="58" spans="1:18" s="55" customFormat="1" x14ac:dyDescent="0.25">
      <c r="A58" s="5">
        <v>306</v>
      </c>
      <c r="B58" s="6" t="s">
        <v>136</v>
      </c>
      <c r="C58" s="7">
        <v>4000</v>
      </c>
      <c r="D58" s="7">
        <v>419.88</v>
      </c>
      <c r="E58" s="8">
        <f t="shared" si="0"/>
        <v>2519.2799999999997</v>
      </c>
      <c r="F58" s="8">
        <f t="shared" si="7"/>
        <v>419.88</v>
      </c>
      <c r="G58" s="9">
        <f t="shared" si="5"/>
        <v>2939.16</v>
      </c>
      <c r="H58" s="115">
        <v>3120.4</v>
      </c>
      <c r="I58" s="10">
        <v>375</v>
      </c>
      <c r="J58" s="10">
        <v>105</v>
      </c>
      <c r="K58" s="119">
        <v>293.92</v>
      </c>
      <c r="L58" s="12"/>
      <c r="M58" s="22">
        <f t="shared" si="8"/>
        <v>105.67999999999989</v>
      </c>
      <c r="N58" s="14">
        <f t="shared" si="2"/>
        <v>3226.08</v>
      </c>
      <c r="O58" s="5">
        <v>0.03</v>
      </c>
      <c r="P58" s="33">
        <f t="shared" si="3"/>
        <v>10.567999999999991</v>
      </c>
      <c r="Q58" s="33">
        <f t="shared" si="4"/>
        <v>11.413439999999991</v>
      </c>
    </row>
    <row r="59" spans="1:18" s="55" customFormat="1" x14ac:dyDescent="0.25">
      <c r="A59" s="5">
        <v>307</v>
      </c>
      <c r="B59" s="6" t="s">
        <v>140</v>
      </c>
      <c r="C59" s="7">
        <v>4000</v>
      </c>
      <c r="D59" s="7">
        <v>419.88</v>
      </c>
      <c r="E59" s="8">
        <f t="shared" si="0"/>
        <v>2519.2799999999997</v>
      </c>
      <c r="F59" s="8">
        <f t="shared" si="7"/>
        <v>419.88</v>
      </c>
      <c r="G59" s="9">
        <f t="shared" si="5"/>
        <v>2939.16</v>
      </c>
      <c r="H59" s="115">
        <v>3354.4</v>
      </c>
      <c r="I59" s="10">
        <v>375</v>
      </c>
      <c r="J59" s="10"/>
      <c r="K59" s="119"/>
      <c r="L59" s="12"/>
      <c r="M59" s="22">
        <f t="shared" si="8"/>
        <v>270.59999999999991</v>
      </c>
      <c r="N59" s="14">
        <f t="shared" si="2"/>
        <v>3625</v>
      </c>
      <c r="O59" s="5">
        <v>0.03</v>
      </c>
      <c r="P59" s="33">
        <f t="shared" si="3"/>
        <v>27.059999999999992</v>
      </c>
      <c r="Q59" s="33">
        <f t="shared" si="4"/>
        <v>29.224799999999991</v>
      </c>
    </row>
    <row r="60" spans="1:18" s="55" customFormat="1" x14ac:dyDescent="0.25">
      <c r="A60" s="5">
        <v>308</v>
      </c>
      <c r="B60" s="6" t="s">
        <v>138</v>
      </c>
      <c r="C60" s="7">
        <v>2700</v>
      </c>
      <c r="D60" s="7">
        <v>420.88</v>
      </c>
      <c r="E60" s="8">
        <f t="shared" si="0"/>
        <v>2525.2799999999997</v>
      </c>
      <c r="F60" s="8">
        <f t="shared" si="7"/>
        <v>420.88</v>
      </c>
      <c r="G60" s="9">
        <f t="shared" si="5"/>
        <v>2946.16</v>
      </c>
      <c r="H60" s="115">
        <v>2560</v>
      </c>
      <c r="I60" s="10"/>
      <c r="J60" s="10">
        <v>140</v>
      </c>
      <c r="K60" s="119"/>
      <c r="L60" s="12"/>
      <c r="M60" s="22">
        <f t="shared" si="8"/>
        <v>0</v>
      </c>
      <c r="N60" s="14">
        <f t="shared" si="2"/>
        <v>2560</v>
      </c>
      <c r="O60" s="5">
        <v>0.03</v>
      </c>
      <c r="P60" s="33">
        <f t="shared" si="3"/>
        <v>0</v>
      </c>
      <c r="Q60" s="33">
        <f t="shared" si="4"/>
        <v>0</v>
      </c>
    </row>
    <row r="61" spans="1:18" s="55" customFormat="1" x14ac:dyDescent="0.25">
      <c r="A61" s="5">
        <v>309</v>
      </c>
      <c r="B61" s="6" t="s">
        <v>143</v>
      </c>
      <c r="C61" s="7">
        <v>4000</v>
      </c>
      <c r="D61" s="7">
        <v>419.88</v>
      </c>
      <c r="E61" s="8">
        <f>D61*6</f>
        <v>2519.2799999999997</v>
      </c>
      <c r="F61" s="8">
        <f t="shared" si="7"/>
        <v>419.88</v>
      </c>
      <c r="G61" s="9">
        <f>E61+F61</f>
        <v>2939.16</v>
      </c>
      <c r="H61" s="115">
        <v>3354.2</v>
      </c>
      <c r="I61" s="10">
        <v>75</v>
      </c>
      <c r="J61" s="10">
        <v>70</v>
      </c>
      <c r="K61" s="119"/>
      <c r="L61" s="12"/>
      <c r="M61" s="22">
        <f t="shared" si="8"/>
        <v>500.80000000000018</v>
      </c>
      <c r="N61" s="14">
        <f>H61+M61</f>
        <v>3855</v>
      </c>
      <c r="O61" s="5">
        <v>0.03</v>
      </c>
      <c r="P61" s="33">
        <f>+M61*0.1</f>
        <v>50.08000000000002</v>
      </c>
      <c r="Q61" s="33">
        <f>+P61*1.08</f>
        <v>54.086400000000026</v>
      </c>
    </row>
    <row r="62" spans="1:18" s="55" customFormat="1" x14ac:dyDescent="0.25">
      <c r="A62" s="5">
        <v>310</v>
      </c>
      <c r="B62" s="6" t="s">
        <v>147</v>
      </c>
      <c r="C62" s="7">
        <v>5000</v>
      </c>
      <c r="D62" s="7">
        <v>419.88</v>
      </c>
      <c r="E62" s="8">
        <f t="shared" si="0"/>
        <v>2519.2799999999997</v>
      </c>
      <c r="F62" s="8">
        <f t="shared" si="7"/>
        <v>419.88</v>
      </c>
      <c r="G62" s="9">
        <f t="shared" si="5"/>
        <v>2939.16</v>
      </c>
      <c r="H62" s="115">
        <v>3354.4</v>
      </c>
      <c r="I62" s="10"/>
      <c r="J62" s="10"/>
      <c r="K62" s="119"/>
      <c r="L62" s="12"/>
      <c r="M62" s="22">
        <f t="shared" si="8"/>
        <v>1645.6</v>
      </c>
      <c r="N62" s="14">
        <f t="shared" si="2"/>
        <v>5000</v>
      </c>
      <c r="O62" s="5">
        <v>0.03</v>
      </c>
      <c r="P62" s="33">
        <f t="shared" si="3"/>
        <v>164.56</v>
      </c>
      <c r="Q62" s="33">
        <f t="shared" si="4"/>
        <v>177.72480000000002</v>
      </c>
    </row>
    <row r="63" spans="1:18" s="55" customFormat="1" ht="16.149999999999999" customHeight="1" thickBot="1" x14ac:dyDescent="0.3">
      <c r="A63"/>
      <c r="B63"/>
      <c r="C63"/>
      <c r="D63"/>
      <c r="E63"/>
      <c r="F63"/>
      <c r="G63"/>
      <c r="H63" s="117"/>
      <c r="I63"/>
      <c r="J63"/>
      <c r="K63"/>
      <c r="L63"/>
      <c r="M63"/>
      <c r="N63"/>
      <c r="O63"/>
      <c r="P63"/>
      <c r="Q63"/>
    </row>
    <row r="64" spans="1:18" ht="18" thickBot="1" x14ac:dyDescent="0.35">
      <c r="A64" s="23"/>
      <c r="B64" s="24"/>
      <c r="C64" s="25">
        <f t="shared" ref="C64:N64" si="9">SUM(C4:C63)</f>
        <v>297575</v>
      </c>
      <c r="D64" s="25">
        <f t="shared" si="9"/>
        <v>24773.920000000006</v>
      </c>
      <c r="E64" s="25">
        <f t="shared" si="9"/>
        <v>148643.51999999996</v>
      </c>
      <c r="F64" s="25">
        <f t="shared" si="9"/>
        <v>24773.920000000006</v>
      </c>
      <c r="G64" s="25">
        <f t="shared" si="9"/>
        <v>173417.44000000015</v>
      </c>
      <c r="H64" s="118">
        <f t="shared" si="9"/>
        <v>188040.40000000002</v>
      </c>
      <c r="I64" s="26">
        <f t="shared" si="9"/>
        <v>9375</v>
      </c>
      <c r="J64" s="26">
        <f t="shared" si="9"/>
        <v>4375</v>
      </c>
      <c r="K64" s="26">
        <f t="shared" si="9"/>
        <v>10615.69</v>
      </c>
      <c r="L64" s="27">
        <f t="shared" si="9"/>
        <v>10660.71</v>
      </c>
      <c r="M64" s="25">
        <f t="shared" si="9"/>
        <v>95829.620000000083</v>
      </c>
      <c r="N64" s="25">
        <f t="shared" si="9"/>
        <v>283870.01999999996</v>
      </c>
      <c r="P64" s="25">
        <f>SUM(P4:P63)</f>
        <v>9582.9619999999977</v>
      </c>
      <c r="Q64" s="25">
        <f>SUM(Q4:Q63)</f>
        <v>10349.598960000001</v>
      </c>
      <c r="R64" s="55">
        <f>+N64+Q64</f>
        <v>294219.61895999993</v>
      </c>
    </row>
    <row r="65" spans="9:10" x14ac:dyDescent="0.25">
      <c r="I65" s="15">
        <f>I64/75</f>
        <v>125</v>
      </c>
      <c r="J65" s="15">
        <f>J64/35</f>
        <v>125</v>
      </c>
    </row>
  </sheetData>
  <autoFilter ref="A3:Q62" xr:uid="{00000000-0009-0000-0000-000019000000}"/>
  <mergeCells count="2">
    <mergeCell ref="A1:N1"/>
    <mergeCell ref="A2:N2"/>
  </mergeCells>
  <pageMargins left="0.25" right="0.25" top="0.75" bottom="0.75" header="0.3" footer="0.3"/>
  <pageSetup scale="50" orientation="landscape" r:id="rId1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2E469-7659-43C3-AA8E-E3E40D69429D}">
  <sheetPr>
    <pageSetUpPr fitToPage="1"/>
  </sheetPr>
  <dimension ref="A1:R66"/>
  <sheetViews>
    <sheetView showGridLines="0" zoomScaleNormal="100" workbookViewId="0">
      <selection activeCell="I4" sqref="I4:J4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style="117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148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116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6</v>
      </c>
      <c r="B4" s="6" t="s">
        <v>14</v>
      </c>
      <c r="C4" s="7">
        <v>4000</v>
      </c>
      <c r="D4" s="7">
        <v>419.88</v>
      </c>
      <c r="E4" s="8">
        <f t="shared" ref="E4:E63" si="0">D4*6</f>
        <v>2519.2799999999997</v>
      </c>
      <c r="F4" s="8">
        <f t="shared" ref="F4:F63" si="1">$D4</f>
        <v>419.88</v>
      </c>
      <c r="G4" s="9">
        <f>E4+F4</f>
        <v>2939.16</v>
      </c>
      <c r="H4" s="37">
        <v>3354.2</v>
      </c>
      <c r="I4" s="10">
        <v>300</v>
      </c>
      <c r="J4" s="10"/>
      <c r="K4" s="119"/>
      <c r="L4" s="19"/>
      <c r="M4" s="13">
        <f>C4-H4-I4+L4-K4-J4</f>
        <v>345.80000000000018</v>
      </c>
      <c r="N4" s="14">
        <f t="shared" ref="N4:N63" si="2">H4+M4</f>
        <v>3700</v>
      </c>
      <c r="O4" s="29" t="s">
        <v>47</v>
      </c>
      <c r="P4" s="33">
        <f t="shared" ref="P4:P63" si="3">+M4*0.1</f>
        <v>34.58000000000002</v>
      </c>
      <c r="Q4" s="33">
        <f t="shared" ref="Q4:Q63" si="4">+P4*1.08</f>
        <v>37.346400000000024</v>
      </c>
    </row>
    <row r="5" spans="1:17" x14ac:dyDescent="0.25">
      <c r="A5" s="36">
        <v>14</v>
      </c>
      <c r="B5" s="6" t="s">
        <v>15</v>
      </c>
      <c r="C5" s="7">
        <v>15000</v>
      </c>
      <c r="D5" s="7">
        <v>419.88</v>
      </c>
      <c r="E5" s="8">
        <f t="shared" si="0"/>
        <v>2519.2799999999997</v>
      </c>
      <c r="F5" s="8">
        <f t="shared" si="1"/>
        <v>419.88</v>
      </c>
      <c r="G5" s="9">
        <f t="shared" ref="G5:G63" si="5">E5+F5</f>
        <v>2939.16</v>
      </c>
      <c r="H5" s="37">
        <v>3354.4</v>
      </c>
      <c r="I5" s="10"/>
      <c r="J5" s="10">
        <v>105</v>
      </c>
      <c r="K5" s="120"/>
      <c r="L5" s="19"/>
      <c r="M5" s="13">
        <f>C5-H5-I5+L5-K5-J5</f>
        <v>11540.6</v>
      </c>
      <c r="N5" s="14">
        <f>H5+M5</f>
        <v>14895</v>
      </c>
      <c r="O5" s="30" t="s">
        <v>118</v>
      </c>
      <c r="P5" s="33">
        <f t="shared" si="3"/>
        <v>1154.0600000000002</v>
      </c>
      <c r="Q5" s="33">
        <f t="shared" si="4"/>
        <v>1246.3848000000003</v>
      </c>
    </row>
    <row r="6" spans="1:17" ht="15" customHeight="1" x14ac:dyDescent="0.25">
      <c r="A6" s="36">
        <v>24</v>
      </c>
      <c r="B6" s="6" t="s">
        <v>16</v>
      </c>
      <c r="C6" s="7">
        <v>5000</v>
      </c>
      <c r="D6" s="7">
        <v>419.88</v>
      </c>
      <c r="E6" s="8">
        <f t="shared" si="0"/>
        <v>2519.2799999999997</v>
      </c>
      <c r="F6" s="8">
        <f t="shared" si="1"/>
        <v>419.88</v>
      </c>
      <c r="G6" s="9">
        <f t="shared" si="5"/>
        <v>2939.16</v>
      </c>
      <c r="H6" s="37">
        <v>3354.4</v>
      </c>
      <c r="I6" s="10">
        <v>225</v>
      </c>
      <c r="J6" s="10">
        <v>70</v>
      </c>
      <c r="K6" s="120"/>
      <c r="L6" s="19"/>
      <c r="M6" s="13">
        <f t="shared" ref="M6:M55" si="6">C6-H6-I6+L6-K6-J6</f>
        <v>1350.6</v>
      </c>
      <c r="N6" s="14">
        <f t="shared" si="2"/>
        <v>4705</v>
      </c>
      <c r="O6" s="36" t="s">
        <v>118</v>
      </c>
      <c r="P6" s="33">
        <f t="shared" si="3"/>
        <v>135.06</v>
      </c>
      <c r="Q6" s="33">
        <f t="shared" si="4"/>
        <v>145.8648</v>
      </c>
    </row>
    <row r="7" spans="1:17" x14ac:dyDescent="0.25">
      <c r="A7" s="36">
        <v>43</v>
      </c>
      <c r="B7" s="6" t="s">
        <v>17</v>
      </c>
      <c r="C7" s="7">
        <v>4500</v>
      </c>
      <c r="D7" s="7">
        <v>419.88</v>
      </c>
      <c r="E7" s="8">
        <f t="shared" si="0"/>
        <v>2519.2799999999997</v>
      </c>
      <c r="F7" s="8">
        <f t="shared" si="1"/>
        <v>419.88</v>
      </c>
      <c r="G7" s="9">
        <f t="shared" si="5"/>
        <v>2939.16</v>
      </c>
      <c r="H7" s="37">
        <v>3354.4</v>
      </c>
      <c r="I7" s="10">
        <v>300</v>
      </c>
      <c r="J7" s="10">
        <v>35</v>
      </c>
      <c r="K7" s="119"/>
      <c r="L7" s="12"/>
      <c r="M7" s="13">
        <f t="shared" si="6"/>
        <v>810.59999999999991</v>
      </c>
      <c r="N7" s="14">
        <f t="shared" si="2"/>
        <v>4165</v>
      </c>
      <c r="O7" s="30" t="s">
        <v>118</v>
      </c>
      <c r="P7" s="33">
        <f t="shared" si="3"/>
        <v>81.06</v>
      </c>
      <c r="Q7" s="33">
        <f t="shared" si="4"/>
        <v>87.544800000000009</v>
      </c>
    </row>
    <row r="8" spans="1:17" ht="15.6" customHeight="1" x14ac:dyDescent="0.25">
      <c r="A8" s="36">
        <v>52</v>
      </c>
      <c r="B8" s="6" t="s">
        <v>18</v>
      </c>
      <c r="C8" s="7">
        <v>4000</v>
      </c>
      <c r="D8" s="7">
        <v>419.88</v>
      </c>
      <c r="E8" s="8">
        <f t="shared" si="0"/>
        <v>2519.2799999999997</v>
      </c>
      <c r="F8" s="8">
        <f t="shared" si="1"/>
        <v>419.88</v>
      </c>
      <c r="G8" s="9">
        <f t="shared" si="5"/>
        <v>2939.16</v>
      </c>
      <c r="H8" s="37">
        <v>3089</v>
      </c>
      <c r="I8" s="10">
        <v>150</v>
      </c>
      <c r="J8" s="10">
        <v>140</v>
      </c>
      <c r="K8" s="120">
        <v>587.84</v>
      </c>
      <c r="L8" s="12">
        <v>285.70999999999998</v>
      </c>
      <c r="M8" s="22">
        <f t="shared" si="6"/>
        <v>318.87</v>
      </c>
      <c r="N8" s="14">
        <f t="shared" si="2"/>
        <v>3407.87</v>
      </c>
      <c r="O8" s="30" t="s">
        <v>47</v>
      </c>
      <c r="P8" s="33">
        <f t="shared" si="3"/>
        <v>31.887</v>
      </c>
      <c r="Q8" s="33">
        <f t="shared" si="4"/>
        <v>34.437960000000004</v>
      </c>
    </row>
    <row r="9" spans="1:17" x14ac:dyDescent="0.25">
      <c r="A9" s="5">
        <v>62</v>
      </c>
      <c r="B9" s="17" t="s">
        <v>19</v>
      </c>
      <c r="C9" s="7">
        <v>4000</v>
      </c>
      <c r="D9" s="7">
        <v>419.88</v>
      </c>
      <c r="E9" s="8">
        <f t="shared" si="0"/>
        <v>2519.2799999999997</v>
      </c>
      <c r="F9" s="8">
        <f t="shared" si="1"/>
        <v>419.88</v>
      </c>
      <c r="G9" s="9">
        <f t="shared" si="5"/>
        <v>2939.16</v>
      </c>
      <c r="H9" s="37">
        <v>3354.2</v>
      </c>
      <c r="I9" s="10"/>
      <c r="J9" s="10"/>
      <c r="K9" s="121"/>
      <c r="L9" s="19"/>
      <c r="M9" s="22">
        <f t="shared" si="6"/>
        <v>645.80000000000018</v>
      </c>
      <c r="N9" s="14">
        <f t="shared" si="2"/>
        <v>4000</v>
      </c>
      <c r="O9" s="30" t="s">
        <v>49</v>
      </c>
      <c r="P9" s="33">
        <f t="shared" si="3"/>
        <v>64.580000000000027</v>
      </c>
      <c r="Q9" s="33">
        <f t="shared" si="4"/>
        <v>69.746400000000037</v>
      </c>
    </row>
    <row r="10" spans="1:17" x14ac:dyDescent="0.25">
      <c r="A10" s="5">
        <v>109</v>
      </c>
      <c r="B10" s="17" t="s">
        <v>20</v>
      </c>
      <c r="C10" s="7">
        <v>7000</v>
      </c>
      <c r="D10" s="7">
        <v>419.88</v>
      </c>
      <c r="E10" s="8">
        <f t="shared" si="0"/>
        <v>2519.2799999999997</v>
      </c>
      <c r="F10" s="8">
        <f t="shared" si="1"/>
        <v>419.88</v>
      </c>
      <c r="G10" s="9">
        <f t="shared" si="5"/>
        <v>2939.16</v>
      </c>
      <c r="H10" s="37">
        <v>3354.4</v>
      </c>
      <c r="I10" s="10"/>
      <c r="J10" s="10">
        <v>35</v>
      </c>
      <c r="K10" s="119"/>
      <c r="L10" s="12"/>
      <c r="M10" s="13">
        <f t="shared" si="6"/>
        <v>3610.6</v>
      </c>
      <c r="N10" s="14">
        <f t="shared" si="2"/>
        <v>6965</v>
      </c>
      <c r="O10" s="30" t="s">
        <v>118</v>
      </c>
      <c r="P10" s="33">
        <f t="shared" si="3"/>
        <v>361.06</v>
      </c>
      <c r="Q10" s="33">
        <f t="shared" si="4"/>
        <v>389.94480000000004</v>
      </c>
    </row>
    <row r="11" spans="1:17" x14ac:dyDescent="0.25">
      <c r="A11" s="5">
        <v>114</v>
      </c>
      <c r="B11" s="17" t="s">
        <v>21</v>
      </c>
      <c r="C11" s="7">
        <v>5000</v>
      </c>
      <c r="D11" s="7">
        <v>419.88</v>
      </c>
      <c r="E11" s="8">
        <f t="shared" si="0"/>
        <v>2519.2799999999997</v>
      </c>
      <c r="F11" s="8">
        <f t="shared" si="1"/>
        <v>419.88</v>
      </c>
      <c r="G11" s="9">
        <f t="shared" si="5"/>
        <v>2939.16</v>
      </c>
      <c r="H11" s="37">
        <v>3491.6</v>
      </c>
      <c r="I11" s="10">
        <v>375</v>
      </c>
      <c r="J11" s="10">
        <v>70</v>
      </c>
      <c r="K11" s="119"/>
      <c r="L11" s="12">
        <v>714.29</v>
      </c>
      <c r="M11" s="13">
        <f t="shared" si="6"/>
        <v>1777.69</v>
      </c>
      <c r="N11" s="14">
        <f t="shared" si="2"/>
        <v>5269.29</v>
      </c>
      <c r="O11" s="30">
        <v>0.03</v>
      </c>
      <c r="P11" s="33">
        <f t="shared" si="3"/>
        <v>177.76900000000001</v>
      </c>
      <c r="Q11" s="33">
        <f t="shared" si="4"/>
        <v>191.99052000000003</v>
      </c>
    </row>
    <row r="12" spans="1:17" ht="15" customHeight="1" x14ac:dyDescent="0.25">
      <c r="A12" s="5">
        <v>131</v>
      </c>
      <c r="B12" s="17" t="s">
        <v>22</v>
      </c>
      <c r="C12" s="7">
        <v>3500</v>
      </c>
      <c r="D12" s="7">
        <v>419.88</v>
      </c>
      <c r="E12" s="8">
        <f t="shared" si="0"/>
        <v>2519.2799999999997</v>
      </c>
      <c r="F12" s="8">
        <f t="shared" si="1"/>
        <v>419.88</v>
      </c>
      <c r="G12" s="9">
        <f t="shared" si="5"/>
        <v>2939.16</v>
      </c>
      <c r="H12" s="37">
        <v>3245</v>
      </c>
      <c r="I12" s="10">
        <v>150</v>
      </c>
      <c r="J12" s="10">
        <v>105</v>
      </c>
      <c r="K12" s="120"/>
      <c r="L12" s="19"/>
      <c r="M12" s="13">
        <f>C12-H12-I12+L12-K12-J12</f>
        <v>0</v>
      </c>
      <c r="N12" s="14">
        <f t="shared" si="2"/>
        <v>3245</v>
      </c>
      <c r="O12" s="30">
        <v>0.03</v>
      </c>
      <c r="P12" s="33">
        <f t="shared" si="3"/>
        <v>0</v>
      </c>
      <c r="Q12" s="33">
        <f t="shared" si="4"/>
        <v>0</v>
      </c>
    </row>
    <row r="13" spans="1:17" x14ac:dyDescent="0.25">
      <c r="A13" s="36">
        <v>149</v>
      </c>
      <c r="B13" s="6" t="s">
        <v>23</v>
      </c>
      <c r="C13" s="7">
        <v>4000</v>
      </c>
      <c r="D13" s="7">
        <v>419.88</v>
      </c>
      <c r="E13" s="8">
        <f t="shared" si="0"/>
        <v>2519.2799999999997</v>
      </c>
      <c r="F13" s="8">
        <f t="shared" si="1"/>
        <v>419.88</v>
      </c>
      <c r="G13" s="9">
        <f t="shared" si="5"/>
        <v>2939.16</v>
      </c>
      <c r="H13" s="37">
        <v>2967.2</v>
      </c>
      <c r="I13" s="10">
        <v>150</v>
      </c>
      <c r="J13" s="10">
        <v>140</v>
      </c>
      <c r="K13" s="120">
        <v>587.84</v>
      </c>
      <c r="L13" s="19">
        <v>142.86000000000001</v>
      </c>
      <c r="M13" s="22">
        <f>C13-H13-I13+L13-K13-J13</f>
        <v>297.82000000000028</v>
      </c>
      <c r="N13" s="14">
        <f t="shared" si="2"/>
        <v>3265.02</v>
      </c>
      <c r="O13" s="36" t="s">
        <v>50</v>
      </c>
      <c r="P13" s="33">
        <f t="shared" si="3"/>
        <v>29.782000000000028</v>
      </c>
      <c r="Q13" s="33">
        <f t="shared" si="4"/>
        <v>32.16456000000003</v>
      </c>
    </row>
    <row r="14" spans="1:17" x14ac:dyDescent="0.25">
      <c r="A14" s="5">
        <v>150</v>
      </c>
      <c r="B14" s="6" t="s">
        <v>24</v>
      </c>
      <c r="C14" s="7">
        <v>5000</v>
      </c>
      <c r="D14" s="7">
        <v>419.88</v>
      </c>
      <c r="E14" s="8">
        <f t="shared" si="0"/>
        <v>2519.2799999999997</v>
      </c>
      <c r="F14" s="8">
        <f t="shared" si="1"/>
        <v>419.88</v>
      </c>
      <c r="G14" s="9">
        <f t="shared" si="5"/>
        <v>2939.16</v>
      </c>
      <c r="H14" s="37">
        <v>3354.2</v>
      </c>
      <c r="I14" s="10"/>
      <c r="J14" s="10"/>
      <c r="K14" s="120"/>
      <c r="L14" s="19"/>
      <c r="M14" s="13">
        <f t="shared" si="6"/>
        <v>1645.8000000000002</v>
      </c>
      <c r="N14" s="14">
        <f t="shared" si="2"/>
        <v>5000</v>
      </c>
      <c r="O14" s="30" t="s">
        <v>47</v>
      </c>
      <c r="P14" s="33">
        <f t="shared" si="3"/>
        <v>164.58000000000004</v>
      </c>
      <c r="Q14" s="33">
        <f t="shared" si="4"/>
        <v>177.74640000000005</v>
      </c>
    </row>
    <row r="15" spans="1:17" x14ac:dyDescent="0.25">
      <c r="A15" s="5">
        <v>752</v>
      </c>
      <c r="B15" s="6" t="s">
        <v>25</v>
      </c>
      <c r="C15" s="7">
        <v>4500</v>
      </c>
      <c r="D15" s="7">
        <v>419.88</v>
      </c>
      <c r="E15" s="8">
        <f t="shared" si="0"/>
        <v>2519.2799999999997</v>
      </c>
      <c r="F15" s="8">
        <f t="shared" si="1"/>
        <v>419.88</v>
      </c>
      <c r="G15" s="9">
        <f t="shared" si="5"/>
        <v>2939.16</v>
      </c>
      <c r="H15" s="37">
        <v>3354.2</v>
      </c>
      <c r="I15" s="10"/>
      <c r="J15" s="10">
        <v>140</v>
      </c>
      <c r="K15" s="120"/>
      <c r="L15" s="12"/>
      <c r="M15" s="13">
        <f>C15-H15-I15+L15-K15-J15</f>
        <v>1005.8000000000002</v>
      </c>
      <c r="N15" s="14">
        <f t="shared" si="2"/>
        <v>4360</v>
      </c>
      <c r="O15" s="29">
        <v>0.03</v>
      </c>
      <c r="P15" s="33">
        <f t="shared" si="3"/>
        <v>100.58000000000003</v>
      </c>
      <c r="Q15" s="33">
        <f t="shared" si="4"/>
        <v>108.62640000000003</v>
      </c>
    </row>
    <row r="16" spans="1:17" s="55" customFormat="1" x14ac:dyDescent="0.25">
      <c r="A16" s="5">
        <v>162</v>
      </c>
      <c r="B16" s="6" t="s">
        <v>27</v>
      </c>
      <c r="C16" s="7">
        <v>4500</v>
      </c>
      <c r="D16" s="7">
        <v>419.88</v>
      </c>
      <c r="E16" s="8">
        <f t="shared" si="0"/>
        <v>2519.2799999999997</v>
      </c>
      <c r="F16" s="8">
        <f t="shared" si="1"/>
        <v>419.88</v>
      </c>
      <c r="G16" s="9">
        <f t="shared" si="5"/>
        <v>2939.16</v>
      </c>
      <c r="H16" s="37">
        <v>2677.2</v>
      </c>
      <c r="I16" s="10">
        <v>150</v>
      </c>
      <c r="J16" s="10">
        <v>70</v>
      </c>
      <c r="K16" s="120">
        <f>293.92+750</f>
        <v>1043.92</v>
      </c>
      <c r="L16" s="19"/>
      <c r="M16" s="13">
        <f t="shared" si="6"/>
        <v>558.88000000000011</v>
      </c>
      <c r="N16" s="14">
        <f t="shared" si="2"/>
        <v>3236.08</v>
      </c>
      <c r="O16" s="29">
        <v>0.03</v>
      </c>
      <c r="P16" s="33">
        <f t="shared" si="3"/>
        <v>55.888000000000012</v>
      </c>
      <c r="Q16" s="33">
        <f t="shared" si="4"/>
        <v>60.359040000000014</v>
      </c>
    </row>
    <row r="17" spans="1:17" s="55" customFormat="1" x14ac:dyDescent="0.25">
      <c r="A17" s="5">
        <v>174</v>
      </c>
      <c r="B17" s="6" t="s">
        <v>28</v>
      </c>
      <c r="C17" s="7">
        <v>10000</v>
      </c>
      <c r="D17" s="7">
        <v>419.88</v>
      </c>
      <c r="E17" s="8">
        <f t="shared" si="0"/>
        <v>2519.2799999999997</v>
      </c>
      <c r="F17" s="8">
        <f t="shared" si="1"/>
        <v>419.88</v>
      </c>
      <c r="G17" s="9">
        <f t="shared" si="5"/>
        <v>2939.16</v>
      </c>
      <c r="H17" s="37">
        <v>2376</v>
      </c>
      <c r="I17" s="10"/>
      <c r="J17" s="10"/>
      <c r="K17" s="123">
        <v>908.03</v>
      </c>
      <c r="L17" s="12"/>
      <c r="M17" s="13">
        <f t="shared" si="6"/>
        <v>6715.97</v>
      </c>
      <c r="N17" s="14">
        <f t="shared" si="2"/>
        <v>9091.9700000000012</v>
      </c>
      <c r="O17" s="29" t="s">
        <v>50</v>
      </c>
      <c r="P17" s="33">
        <f t="shared" si="3"/>
        <v>671.59700000000009</v>
      </c>
      <c r="Q17" s="33">
        <f t="shared" si="4"/>
        <v>725.3247600000002</v>
      </c>
    </row>
    <row r="18" spans="1:17" s="55" customFormat="1" x14ac:dyDescent="0.25">
      <c r="A18" s="5">
        <v>184</v>
      </c>
      <c r="B18" s="6" t="s">
        <v>29</v>
      </c>
      <c r="C18" s="7">
        <v>8000</v>
      </c>
      <c r="D18" s="7">
        <v>419.88</v>
      </c>
      <c r="E18" s="8">
        <f t="shared" si="0"/>
        <v>2519.2799999999997</v>
      </c>
      <c r="F18" s="8">
        <f t="shared" si="1"/>
        <v>419.88</v>
      </c>
      <c r="G18" s="9">
        <f t="shared" si="5"/>
        <v>2939.16</v>
      </c>
      <c r="H18" s="37">
        <v>3354.2</v>
      </c>
      <c r="I18" s="10">
        <v>375</v>
      </c>
      <c r="J18" s="10">
        <v>140</v>
      </c>
      <c r="K18" s="120"/>
      <c r="L18" s="19"/>
      <c r="M18" s="13">
        <f t="shared" si="6"/>
        <v>4130.8</v>
      </c>
      <c r="N18" s="14">
        <f t="shared" si="2"/>
        <v>7485</v>
      </c>
      <c r="O18" s="29">
        <v>0.03</v>
      </c>
      <c r="P18" s="33">
        <f t="shared" si="3"/>
        <v>413.08000000000004</v>
      </c>
      <c r="Q18" s="33">
        <f t="shared" si="4"/>
        <v>446.12640000000005</v>
      </c>
    </row>
    <row r="19" spans="1:17" s="55" customFormat="1" ht="13.5" customHeight="1" x14ac:dyDescent="0.25">
      <c r="A19" s="5">
        <v>204</v>
      </c>
      <c r="B19" s="6" t="s">
        <v>33</v>
      </c>
      <c r="C19" s="7">
        <v>5000</v>
      </c>
      <c r="D19" s="7">
        <v>419.88</v>
      </c>
      <c r="E19" s="8">
        <f t="shared" si="0"/>
        <v>2519.2799999999997</v>
      </c>
      <c r="F19" s="8">
        <f t="shared" si="1"/>
        <v>419.88</v>
      </c>
      <c r="G19" s="9">
        <f t="shared" si="5"/>
        <v>2939.16</v>
      </c>
      <c r="H19" s="37">
        <v>3354.4</v>
      </c>
      <c r="I19" s="10">
        <v>375</v>
      </c>
      <c r="J19" s="10">
        <v>70</v>
      </c>
      <c r="K19" s="119"/>
      <c r="L19" s="19"/>
      <c r="M19" s="13">
        <f t="shared" si="6"/>
        <v>1200.5999999999999</v>
      </c>
      <c r="N19" s="14">
        <f t="shared" si="2"/>
        <v>4555</v>
      </c>
      <c r="O19" s="29" t="s">
        <v>118</v>
      </c>
      <c r="P19" s="33">
        <f t="shared" si="3"/>
        <v>120.06</v>
      </c>
      <c r="Q19" s="33">
        <f t="shared" si="4"/>
        <v>129.66480000000001</v>
      </c>
    </row>
    <row r="20" spans="1:17" s="55" customFormat="1" x14ac:dyDescent="0.25">
      <c r="A20" s="5">
        <v>213</v>
      </c>
      <c r="B20" s="6" t="s">
        <v>34</v>
      </c>
      <c r="C20" s="7">
        <v>4000</v>
      </c>
      <c r="D20" s="7">
        <v>419.88</v>
      </c>
      <c r="E20" s="8">
        <f t="shared" si="0"/>
        <v>2519.2799999999997</v>
      </c>
      <c r="F20" s="8">
        <f t="shared" si="1"/>
        <v>419.88</v>
      </c>
      <c r="G20" s="9">
        <f t="shared" si="5"/>
        <v>2939.16</v>
      </c>
      <c r="H20" s="37">
        <v>3354.4</v>
      </c>
      <c r="I20" s="10"/>
      <c r="J20" s="10"/>
      <c r="K20" s="119"/>
      <c r="L20" s="12"/>
      <c r="M20" s="13">
        <f t="shared" si="6"/>
        <v>645.59999999999991</v>
      </c>
      <c r="N20" s="14">
        <f t="shared" si="2"/>
        <v>4000</v>
      </c>
      <c r="O20" s="29" t="s">
        <v>50</v>
      </c>
      <c r="P20" s="33">
        <f t="shared" si="3"/>
        <v>64.559999999999988</v>
      </c>
      <c r="Q20" s="33">
        <f t="shared" si="4"/>
        <v>69.724799999999988</v>
      </c>
    </row>
    <row r="21" spans="1:17" s="55" customFormat="1" x14ac:dyDescent="0.25">
      <c r="A21" s="5">
        <v>215</v>
      </c>
      <c r="B21" s="6" t="s">
        <v>35</v>
      </c>
      <c r="C21" s="7">
        <v>5000</v>
      </c>
      <c r="D21" s="7">
        <v>419.88</v>
      </c>
      <c r="E21" s="8">
        <f t="shared" si="0"/>
        <v>2519.2799999999997</v>
      </c>
      <c r="F21" s="8">
        <f t="shared" si="1"/>
        <v>419.88</v>
      </c>
      <c r="G21" s="9">
        <f t="shared" si="5"/>
        <v>2939.16</v>
      </c>
      <c r="H21" s="37">
        <v>3354.4</v>
      </c>
      <c r="I21" s="10"/>
      <c r="J21" s="10"/>
      <c r="K21" s="120"/>
      <c r="L21" s="19"/>
      <c r="M21" s="13">
        <f t="shared" si="6"/>
        <v>1645.6</v>
      </c>
      <c r="N21" s="14">
        <f t="shared" si="2"/>
        <v>5000</v>
      </c>
      <c r="O21" s="29" t="s">
        <v>118</v>
      </c>
      <c r="P21" s="33">
        <f t="shared" si="3"/>
        <v>164.56</v>
      </c>
      <c r="Q21" s="33">
        <f t="shared" si="4"/>
        <v>177.72480000000002</v>
      </c>
    </row>
    <row r="22" spans="1:17" s="55" customFormat="1" x14ac:dyDescent="0.25">
      <c r="A22" s="5">
        <v>218</v>
      </c>
      <c r="B22" s="6" t="s">
        <v>36</v>
      </c>
      <c r="C22" s="7">
        <v>3500</v>
      </c>
      <c r="D22" s="7">
        <v>419.88</v>
      </c>
      <c r="E22" s="8">
        <f t="shared" si="0"/>
        <v>2519.2799999999997</v>
      </c>
      <c r="F22" s="8">
        <f t="shared" si="1"/>
        <v>419.88</v>
      </c>
      <c r="G22" s="9">
        <f t="shared" si="5"/>
        <v>2939.16</v>
      </c>
      <c r="H22" s="37">
        <v>3354.4</v>
      </c>
      <c r="I22" s="10"/>
      <c r="J22" s="10"/>
      <c r="K22" s="122"/>
      <c r="L22" s="12"/>
      <c r="M22" s="13">
        <f t="shared" si="6"/>
        <v>145.59999999999991</v>
      </c>
      <c r="N22" s="14">
        <f t="shared" si="2"/>
        <v>3500</v>
      </c>
      <c r="O22" s="29" t="s">
        <v>49</v>
      </c>
      <c r="P22" s="33">
        <f t="shared" si="3"/>
        <v>14.559999999999992</v>
      </c>
      <c r="Q22" s="33">
        <f t="shared" si="4"/>
        <v>15.724799999999991</v>
      </c>
    </row>
    <row r="23" spans="1:17" s="55" customFormat="1" x14ac:dyDescent="0.25">
      <c r="A23" s="36">
        <v>220</v>
      </c>
      <c r="B23" s="6" t="s">
        <v>37</v>
      </c>
      <c r="C23" s="7">
        <v>4000</v>
      </c>
      <c r="D23" s="7">
        <v>419.88</v>
      </c>
      <c r="E23" s="8">
        <f t="shared" si="0"/>
        <v>2519.2799999999997</v>
      </c>
      <c r="F23" s="8">
        <f t="shared" si="1"/>
        <v>419.88</v>
      </c>
      <c r="G23" s="9">
        <f t="shared" si="5"/>
        <v>2939.16</v>
      </c>
      <c r="H23" s="37">
        <v>1914.2</v>
      </c>
      <c r="I23" s="10">
        <v>375</v>
      </c>
      <c r="J23" s="10">
        <v>140</v>
      </c>
      <c r="K23" s="123">
        <f>610.33+293.92+666.67</f>
        <v>1570.92</v>
      </c>
      <c r="L23" s="12"/>
      <c r="M23" s="22">
        <f>C23-H23-I23+L23-K23-J23+0.12</f>
        <v>1.0913492332065289E-13</v>
      </c>
      <c r="N23" s="14">
        <f t="shared" si="2"/>
        <v>1914.2</v>
      </c>
      <c r="O23" s="36">
        <v>0.03</v>
      </c>
      <c r="P23" s="33">
        <f t="shared" si="3"/>
        <v>1.091349233206529E-14</v>
      </c>
      <c r="Q23" s="33">
        <f t="shared" si="4"/>
        <v>1.1786571718630514E-14</v>
      </c>
    </row>
    <row r="24" spans="1:17" s="55" customFormat="1" x14ac:dyDescent="0.25">
      <c r="A24" s="5">
        <v>221</v>
      </c>
      <c r="B24" s="6" t="s">
        <v>38</v>
      </c>
      <c r="C24" s="7">
        <v>5000</v>
      </c>
      <c r="D24" s="7">
        <v>419.88</v>
      </c>
      <c r="E24" s="8">
        <f t="shared" si="0"/>
        <v>2519.2799999999997</v>
      </c>
      <c r="F24" s="8">
        <f t="shared" si="1"/>
        <v>419.88</v>
      </c>
      <c r="G24" s="9">
        <f t="shared" si="5"/>
        <v>2939.16</v>
      </c>
      <c r="H24" s="37">
        <v>3505.6</v>
      </c>
      <c r="I24" s="10">
        <v>375</v>
      </c>
      <c r="J24" s="10"/>
      <c r="K24" s="120"/>
      <c r="L24" s="12">
        <v>714.29</v>
      </c>
      <c r="M24" s="13">
        <f t="shared" si="6"/>
        <v>1833.69</v>
      </c>
      <c r="N24" s="14">
        <f t="shared" si="2"/>
        <v>5339.29</v>
      </c>
      <c r="O24" s="29">
        <v>0.03</v>
      </c>
      <c r="P24" s="33">
        <f t="shared" si="3"/>
        <v>183.36900000000003</v>
      </c>
      <c r="Q24" s="33">
        <f t="shared" si="4"/>
        <v>198.03852000000003</v>
      </c>
    </row>
    <row r="25" spans="1:17" s="55" customFormat="1" x14ac:dyDescent="0.25">
      <c r="A25" s="5">
        <v>222</v>
      </c>
      <c r="B25" s="6" t="s">
        <v>39</v>
      </c>
      <c r="C25" s="7">
        <v>8000</v>
      </c>
      <c r="D25" s="7">
        <v>419.88</v>
      </c>
      <c r="E25" s="8">
        <f t="shared" si="0"/>
        <v>2519.2799999999997</v>
      </c>
      <c r="F25" s="8">
        <f t="shared" si="1"/>
        <v>419.88</v>
      </c>
      <c r="G25" s="9">
        <f t="shared" si="5"/>
        <v>2939.16</v>
      </c>
      <c r="H25" s="37">
        <v>2447.4</v>
      </c>
      <c r="I25" s="10">
        <v>375</v>
      </c>
      <c r="J25" s="10">
        <v>175</v>
      </c>
      <c r="K25" s="123">
        <f>1538.46+293.92</f>
        <v>1832.38</v>
      </c>
      <c r="L25" s="19"/>
      <c r="M25" s="13">
        <f t="shared" si="6"/>
        <v>3170.2200000000003</v>
      </c>
      <c r="N25" s="14">
        <f t="shared" si="2"/>
        <v>5617.6200000000008</v>
      </c>
      <c r="O25" s="29" t="s">
        <v>118</v>
      </c>
      <c r="P25" s="33">
        <f t="shared" si="3"/>
        <v>317.02200000000005</v>
      </c>
      <c r="Q25" s="33">
        <f t="shared" si="4"/>
        <v>342.38376000000005</v>
      </c>
    </row>
    <row r="26" spans="1:17" s="55" customFormat="1" x14ac:dyDescent="0.25">
      <c r="A26" s="5">
        <v>227</v>
      </c>
      <c r="B26" s="6" t="s">
        <v>41</v>
      </c>
      <c r="C26" s="7">
        <v>6000</v>
      </c>
      <c r="D26" s="7">
        <v>419.88</v>
      </c>
      <c r="E26" s="8">
        <f t="shared" si="0"/>
        <v>2519.2799999999997</v>
      </c>
      <c r="F26" s="8">
        <f t="shared" si="1"/>
        <v>419.88</v>
      </c>
      <c r="G26" s="9">
        <f t="shared" si="5"/>
        <v>2939.16</v>
      </c>
      <c r="H26" s="37">
        <v>3354.2</v>
      </c>
      <c r="I26" s="10"/>
      <c r="J26" s="10">
        <v>70</v>
      </c>
      <c r="K26" s="120"/>
      <c r="L26" s="12"/>
      <c r="M26" s="13">
        <f t="shared" si="6"/>
        <v>2575.8000000000002</v>
      </c>
      <c r="N26" s="14">
        <f t="shared" si="2"/>
        <v>5930</v>
      </c>
      <c r="O26" s="29" t="s">
        <v>118</v>
      </c>
      <c r="P26" s="33">
        <f t="shared" si="3"/>
        <v>257.58000000000004</v>
      </c>
      <c r="Q26" s="33">
        <f t="shared" si="4"/>
        <v>278.18640000000005</v>
      </c>
    </row>
    <row r="27" spans="1:17" s="55" customFormat="1" x14ac:dyDescent="0.25">
      <c r="A27" s="5">
        <v>233</v>
      </c>
      <c r="B27" s="6" t="s">
        <v>42</v>
      </c>
      <c r="C27" s="7">
        <v>6250</v>
      </c>
      <c r="D27" s="7">
        <v>419.88</v>
      </c>
      <c r="E27" s="8">
        <f t="shared" si="0"/>
        <v>2519.2799999999997</v>
      </c>
      <c r="F27" s="8">
        <f t="shared" si="1"/>
        <v>419.88</v>
      </c>
      <c r="G27" s="9">
        <f t="shared" si="5"/>
        <v>2939.16</v>
      </c>
      <c r="H27" s="37">
        <v>3354.4</v>
      </c>
      <c r="I27" s="10">
        <v>300</v>
      </c>
      <c r="J27" s="10">
        <v>35</v>
      </c>
      <c r="K27" s="120"/>
      <c r="L27" s="19"/>
      <c r="M27" s="13">
        <f t="shared" si="6"/>
        <v>2560.6</v>
      </c>
      <c r="N27" s="14">
        <f t="shared" si="2"/>
        <v>5915</v>
      </c>
      <c r="O27" s="31" t="s">
        <v>118</v>
      </c>
      <c r="P27" s="33">
        <f t="shared" si="3"/>
        <v>256.06</v>
      </c>
      <c r="Q27" s="33">
        <f t="shared" si="4"/>
        <v>276.54480000000001</v>
      </c>
    </row>
    <row r="28" spans="1:17" s="55" customFormat="1" x14ac:dyDescent="0.25">
      <c r="A28" s="5">
        <v>244</v>
      </c>
      <c r="B28" s="6" t="s">
        <v>44</v>
      </c>
      <c r="C28" s="7">
        <v>5000</v>
      </c>
      <c r="D28" s="7">
        <v>419.88</v>
      </c>
      <c r="E28" s="8">
        <f t="shared" si="0"/>
        <v>2519.2799999999997</v>
      </c>
      <c r="F28" s="8">
        <f t="shared" si="1"/>
        <v>419.88</v>
      </c>
      <c r="G28" s="9">
        <f t="shared" si="5"/>
        <v>2939.16</v>
      </c>
      <c r="H28" s="37">
        <v>2744</v>
      </c>
      <c r="I28" s="10"/>
      <c r="J28" s="10"/>
      <c r="K28" s="123">
        <v>610.33000000000004</v>
      </c>
      <c r="L28" s="12"/>
      <c r="M28" s="13">
        <f>C28-H28-I28+L28-K28-J28</f>
        <v>1645.67</v>
      </c>
      <c r="N28" s="14">
        <f t="shared" si="2"/>
        <v>4389.67</v>
      </c>
      <c r="O28" s="29">
        <v>0.03</v>
      </c>
      <c r="P28" s="33">
        <f t="shared" si="3"/>
        <v>164.56700000000001</v>
      </c>
      <c r="Q28" s="33">
        <f t="shared" si="4"/>
        <v>177.73236000000003</v>
      </c>
    </row>
    <row r="29" spans="1:17" s="55" customFormat="1" x14ac:dyDescent="0.25">
      <c r="A29" s="5">
        <v>245</v>
      </c>
      <c r="B29" s="6" t="s">
        <v>45</v>
      </c>
      <c r="C29" s="7">
        <v>5000</v>
      </c>
      <c r="D29" s="7">
        <v>419.88</v>
      </c>
      <c r="E29" s="8">
        <f t="shared" si="0"/>
        <v>2519.2799999999997</v>
      </c>
      <c r="F29" s="8">
        <f t="shared" si="1"/>
        <v>419.88</v>
      </c>
      <c r="G29" s="9">
        <f t="shared" si="5"/>
        <v>2939.16</v>
      </c>
      <c r="H29" s="37">
        <v>3354.4</v>
      </c>
      <c r="I29" s="10">
        <v>375</v>
      </c>
      <c r="J29" s="10"/>
      <c r="K29" s="119"/>
      <c r="L29" s="19">
        <v>35.54</v>
      </c>
      <c r="M29" s="13">
        <f t="shared" si="6"/>
        <v>1306.1399999999999</v>
      </c>
      <c r="N29" s="14">
        <f>H29+M29</f>
        <v>4660.54</v>
      </c>
      <c r="O29" s="34" t="s">
        <v>47</v>
      </c>
      <c r="P29" s="33">
        <f t="shared" si="3"/>
        <v>130.614</v>
      </c>
      <c r="Q29" s="33">
        <f t="shared" si="4"/>
        <v>141.06312000000003</v>
      </c>
    </row>
    <row r="30" spans="1:17" s="55" customFormat="1" x14ac:dyDescent="0.25">
      <c r="A30" s="5">
        <v>252</v>
      </c>
      <c r="B30" s="6" t="s">
        <v>53</v>
      </c>
      <c r="C30" s="7">
        <v>5000</v>
      </c>
      <c r="D30" s="7">
        <v>419.88</v>
      </c>
      <c r="E30" s="8">
        <f t="shared" si="0"/>
        <v>2519.2799999999997</v>
      </c>
      <c r="F30" s="8">
        <f t="shared" si="1"/>
        <v>419.88</v>
      </c>
      <c r="G30" s="9">
        <f t="shared" si="5"/>
        <v>2939.16</v>
      </c>
      <c r="H30" s="37">
        <v>3354.4</v>
      </c>
      <c r="I30" s="10">
        <v>225</v>
      </c>
      <c r="J30" s="10">
        <v>70</v>
      </c>
      <c r="K30" s="120"/>
      <c r="L30" s="12"/>
      <c r="M30" s="22">
        <f>C30-H30-I30+L30-K30-J30</f>
        <v>1350.6</v>
      </c>
      <c r="N30" s="14">
        <f t="shared" si="2"/>
        <v>4705</v>
      </c>
      <c r="O30" s="5">
        <v>0.03</v>
      </c>
      <c r="P30" s="33">
        <f t="shared" si="3"/>
        <v>135.06</v>
      </c>
      <c r="Q30" s="33">
        <f t="shared" si="4"/>
        <v>145.8648</v>
      </c>
    </row>
    <row r="31" spans="1:17" s="55" customFormat="1" x14ac:dyDescent="0.25">
      <c r="A31" s="5">
        <v>260</v>
      </c>
      <c r="B31" s="6" t="s">
        <v>54</v>
      </c>
      <c r="C31" s="7">
        <v>5000</v>
      </c>
      <c r="D31" s="7">
        <v>419.88</v>
      </c>
      <c r="E31" s="8">
        <f t="shared" si="0"/>
        <v>2519.2799999999997</v>
      </c>
      <c r="F31" s="8">
        <f t="shared" si="1"/>
        <v>419.88</v>
      </c>
      <c r="G31" s="9">
        <f t="shared" si="5"/>
        <v>2939.16</v>
      </c>
      <c r="H31" s="37">
        <v>3354.4</v>
      </c>
      <c r="I31" s="10">
        <v>300</v>
      </c>
      <c r="J31" s="10">
        <v>70</v>
      </c>
      <c r="K31" s="119"/>
      <c r="L31" s="19"/>
      <c r="M31" s="13">
        <f t="shared" si="6"/>
        <v>1275.5999999999999</v>
      </c>
      <c r="N31" s="14">
        <f t="shared" si="2"/>
        <v>4630</v>
      </c>
      <c r="O31" s="5" t="s">
        <v>48</v>
      </c>
      <c r="P31" s="33">
        <f t="shared" si="3"/>
        <v>127.56</v>
      </c>
      <c r="Q31" s="33">
        <f t="shared" si="4"/>
        <v>137.76480000000001</v>
      </c>
    </row>
    <row r="32" spans="1:17" s="55" customFormat="1" x14ac:dyDescent="0.25">
      <c r="A32" s="5">
        <v>261</v>
      </c>
      <c r="B32" s="6" t="s">
        <v>55</v>
      </c>
      <c r="C32" s="7">
        <v>4000</v>
      </c>
      <c r="D32" s="7">
        <v>419.88</v>
      </c>
      <c r="E32" s="8">
        <f t="shared" si="0"/>
        <v>2519.2799999999997</v>
      </c>
      <c r="F32" s="8">
        <f t="shared" si="1"/>
        <v>419.88</v>
      </c>
      <c r="G32" s="9">
        <f t="shared" si="5"/>
        <v>2939.16</v>
      </c>
      <c r="H32" s="37">
        <v>2371</v>
      </c>
      <c r="I32" s="10">
        <v>300</v>
      </c>
      <c r="J32" s="10">
        <v>105</v>
      </c>
      <c r="K32" s="123">
        <v>913.35</v>
      </c>
      <c r="L32" s="19"/>
      <c r="M32" s="13">
        <f t="shared" si="6"/>
        <v>310.64999999999998</v>
      </c>
      <c r="N32" s="14">
        <f t="shared" si="2"/>
        <v>2681.65</v>
      </c>
      <c r="O32" s="5">
        <v>0.03</v>
      </c>
      <c r="P32" s="33">
        <f t="shared" si="3"/>
        <v>31.064999999999998</v>
      </c>
      <c r="Q32" s="33">
        <f t="shared" si="4"/>
        <v>33.550199999999997</v>
      </c>
    </row>
    <row r="33" spans="1:17" s="55" customFormat="1" x14ac:dyDescent="0.25">
      <c r="A33" s="5">
        <v>267</v>
      </c>
      <c r="B33" s="6" t="s">
        <v>56</v>
      </c>
      <c r="C33" s="7">
        <v>5000</v>
      </c>
      <c r="D33" s="7">
        <v>419.88</v>
      </c>
      <c r="E33" s="8">
        <f t="shared" si="0"/>
        <v>2519.2799999999997</v>
      </c>
      <c r="F33" s="8">
        <f t="shared" si="1"/>
        <v>419.88</v>
      </c>
      <c r="G33" s="9">
        <f t="shared" si="5"/>
        <v>2939.16</v>
      </c>
      <c r="H33" s="37">
        <v>2372.4</v>
      </c>
      <c r="I33" s="10">
        <v>375</v>
      </c>
      <c r="J33" s="10">
        <v>140</v>
      </c>
      <c r="K33" s="123">
        <f>435.88+587.84</f>
        <v>1023.72</v>
      </c>
      <c r="L33" s="12"/>
      <c r="M33" s="13">
        <f t="shared" si="6"/>
        <v>1088.8799999999999</v>
      </c>
      <c r="N33" s="14">
        <f t="shared" si="2"/>
        <v>3461.2799999999997</v>
      </c>
      <c r="O33" s="5" t="s">
        <v>47</v>
      </c>
      <c r="P33" s="33">
        <f t="shared" si="3"/>
        <v>108.88799999999999</v>
      </c>
      <c r="Q33" s="33">
        <f t="shared" si="4"/>
        <v>117.59904</v>
      </c>
    </row>
    <row r="34" spans="1:17" s="55" customFormat="1" x14ac:dyDescent="0.25">
      <c r="A34" s="5">
        <v>269</v>
      </c>
      <c r="B34" s="6" t="s">
        <v>58</v>
      </c>
      <c r="C34" s="7">
        <v>7000</v>
      </c>
      <c r="D34" s="7">
        <v>419.88</v>
      </c>
      <c r="E34" s="8">
        <f t="shared" si="0"/>
        <v>2519.2799999999997</v>
      </c>
      <c r="F34" s="8">
        <f t="shared" si="1"/>
        <v>419.88</v>
      </c>
      <c r="G34" s="9">
        <f t="shared" si="5"/>
        <v>2939.16</v>
      </c>
      <c r="H34" s="37">
        <v>2879</v>
      </c>
      <c r="I34" s="10"/>
      <c r="J34" s="10"/>
      <c r="K34" s="120">
        <v>587.84</v>
      </c>
      <c r="L34" s="19"/>
      <c r="M34" s="13">
        <f t="shared" si="6"/>
        <v>3533.16</v>
      </c>
      <c r="N34" s="14">
        <f>H34+M34</f>
        <v>6412.16</v>
      </c>
      <c r="O34" s="5" t="s">
        <v>118</v>
      </c>
      <c r="P34" s="33">
        <f t="shared" si="3"/>
        <v>353.31600000000003</v>
      </c>
      <c r="Q34" s="33">
        <f t="shared" si="4"/>
        <v>381.58128000000005</v>
      </c>
    </row>
    <row r="35" spans="1:17" s="55" customFormat="1" x14ac:dyDescent="0.25">
      <c r="A35" s="5">
        <v>271</v>
      </c>
      <c r="B35" s="6" t="s">
        <v>59</v>
      </c>
      <c r="C35" s="7">
        <v>4000</v>
      </c>
      <c r="D35" s="7">
        <v>419.88</v>
      </c>
      <c r="E35" s="8">
        <f t="shared" si="0"/>
        <v>2519.2799999999997</v>
      </c>
      <c r="F35" s="8">
        <f t="shared" si="1"/>
        <v>419.88</v>
      </c>
      <c r="G35" s="9">
        <f t="shared" si="5"/>
        <v>2939.16</v>
      </c>
      <c r="H35" s="37">
        <v>3354.4</v>
      </c>
      <c r="I35" s="10">
        <v>375</v>
      </c>
      <c r="J35" s="10">
        <v>105</v>
      </c>
      <c r="K35" s="120"/>
      <c r="L35" s="19"/>
      <c r="M35" s="22">
        <f t="shared" si="6"/>
        <v>165.59999999999991</v>
      </c>
      <c r="N35" s="14">
        <f t="shared" si="2"/>
        <v>3520</v>
      </c>
      <c r="O35" s="5">
        <v>0.03</v>
      </c>
      <c r="P35" s="33">
        <f t="shared" si="3"/>
        <v>16.559999999999992</v>
      </c>
      <c r="Q35" s="33">
        <f t="shared" si="4"/>
        <v>17.884799999999991</v>
      </c>
    </row>
    <row r="36" spans="1:17" s="55" customFormat="1" x14ac:dyDescent="0.25">
      <c r="A36" s="5">
        <v>275</v>
      </c>
      <c r="B36" s="6" t="s">
        <v>60</v>
      </c>
      <c r="C36" s="7">
        <v>3375</v>
      </c>
      <c r="D36" s="7">
        <v>419.88</v>
      </c>
      <c r="E36" s="8">
        <f t="shared" si="0"/>
        <v>2519.2799999999997</v>
      </c>
      <c r="F36" s="8">
        <f t="shared" si="1"/>
        <v>419.88</v>
      </c>
      <c r="G36" s="9">
        <f t="shared" si="5"/>
        <v>2939.16</v>
      </c>
      <c r="H36" s="37">
        <v>3354.2</v>
      </c>
      <c r="I36" s="10"/>
      <c r="J36" s="10"/>
      <c r="K36" s="120"/>
      <c r="L36" s="19"/>
      <c r="M36" s="13">
        <f t="shared" si="6"/>
        <v>20.800000000000182</v>
      </c>
      <c r="N36" s="14">
        <f>H36+M36</f>
        <v>3375</v>
      </c>
      <c r="O36" s="5">
        <v>0.03</v>
      </c>
      <c r="P36" s="33">
        <f>+M36*0.1</f>
        <v>2.0800000000000183</v>
      </c>
      <c r="Q36" s="33">
        <f>+P36*1.08</f>
        <v>2.2464000000000199</v>
      </c>
    </row>
    <row r="37" spans="1:17" s="55" customFormat="1" x14ac:dyDescent="0.25">
      <c r="A37" s="5">
        <v>276</v>
      </c>
      <c r="B37" s="6" t="s">
        <v>61</v>
      </c>
      <c r="C37" s="7">
        <v>5000</v>
      </c>
      <c r="D37" s="7">
        <v>419.88</v>
      </c>
      <c r="E37" s="8">
        <f t="shared" si="0"/>
        <v>2519.2799999999997</v>
      </c>
      <c r="F37" s="8">
        <f t="shared" si="1"/>
        <v>419.88</v>
      </c>
      <c r="G37" s="9">
        <f t="shared" si="5"/>
        <v>2939.16</v>
      </c>
      <c r="H37" s="37">
        <v>3354.4</v>
      </c>
      <c r="I37" s="10">
        <v>300</v>
      </c>
      <c r="J37" s="10">
        <v>140</v>
      </c>
      <c r="K37" s="119"/>
      <c r="L37" s="19"/>
      <c r="M37" s="13">
        <f t="shared" si="6"/>
        <v>1205.5999999999999</v>
      </c>
      <c r="N37" s="14">
        <f t="shared" si="2"/>
        <v>4560</v>
      </c>
      <c r="O37" s="5">
        <v>0.03</v>
      </c>
      <c r="P37" s="33">
        <f t="shared" si="3"/>
        <v>120.56</v>
      </c>
      <c r="Q37" s="33">
        <f t="shared" si="4"/>
        <v>130.20480000000001</v>
      </c>
    </row>
    <row r="38" spans="1:17" s="55" customFormat="1" x14ac:dyDescent="0.25">
      <c r="A38" s="5">
        <v>279</v>
      </c>
      <c r="B38" s="6" t="s">
        <v>63</v>
      </c>
      <c r="C38" s="7">
        <v>4500</v>
      </c>
      <c r="D38" s="7">
        <v>419.88</v>
      </c>
      <c r="E38" s="8">
        <f t="shared" si="0"/>
        <v>2519.2799999999997</v>
      </c>
      <c r="F38" s="8">
        <f t="shared" si="1"/>
        <v>419.88</v>
      </c>
      <c r="G38" s="9">
        <f t="shared" si="5"/>
        <v>2939.16</v>
      </c>
      <c r="H38" s="37">
        <v>2879</v>
      </c>
      <c r="I38" s="10"/>
      <c r="J38" s="10">
        <v>70</v>
      </c>
      <c r="K38" s="120">
        <v>587.84</v>
      </c>
      <c r="L38" s="19"/>
      <c r="M38" s="22">
        <f t="shared" si="6"/>
        <v>963.15999999999985</v>
      </c>
      <c r="N38" s="14">
        <f t="shared" si="2"/>
        <v>3842.16</v>
      </c>
      <c r="O38" s="5" t="s">
        <v>118</v>
      </c>
      <c r="P38" s="33">
        <f t="shared" si="3"/>
        <v>96.315999999999988</v>
      </c>
      <c r="Q38" s="33">
        <f t="shared" si="4"/>
        <v>104.02127999999999</v>
      </c>
    </row>
    <row r="39" spans="1:17" s="55" customFormat="1" x14ac:dyDescent="0.25">
      <c r="A39" s="5">
        <v>280</v>
      </c>
      <c r="B39" s="6" t="s">
        <v>64</v>
      </c>
      <c r="C39" s="7">
        <v>5000</v>
      </c>
      <c r="D39" s="7">
        <v>419.88</v>
      </c>
      <c r="E39" s="8">
        <f t="shared" si="0"/>
        <v>2519.2799999999997</v>
      </c>
      <c r="F39" s="8">
        <f t="shared" si="1"/>
        <v>419.88</v>
      </c>
      <c r="G39" s="9">
        <f t="shared" si="5"/>
        <v>2939.16</v>
      </c>
      <c r="H39" s="37">
        <v>3354.2</v>
      </c>
      <c r="I39" s="10"/>
      <c r="J39" s="10"/>
      <c r="K39" s="119"/>
      <c r="L39" s="19"/>
      <c r="M39" s="13">
        <f t="shared" si="6"/>
        <v>1645.8000000000002</v>
      </c>
      <c r="N39" s="14">
        <f t="shared" si="2"/>
        <v>5000</v>
      </c>
      <c r="O39" s="5" t="s">
        <v>119</v>
      </c>
      <c r="P39" s="33">
        <f t="shared" si="3"/>
        <v>164.58000000000004</v>
      </c>
      <c r="Q39" s="33">
        <f t="shared" si="4"/>
        <v>177.74640000000005</v>
      </c>
    </row>
    <row r="40" spans="1:17" s="55" customFormat="1" x14ac:dyDescent="0.25">
      <c r="A40" s="5">
        <v>281</v>
      </c>
      <c r="B40" s="6" t="s">
        <v>65</v>
      </c>
      <c r="C40" s="7">
        <v>8750</v>
      </c>
      <c r="D40" s="7">
        <v>419.88</v>
      </c>
      <c r="E40" s="8">
        <f t="shared" si="0"/>
        <v>2519.2799999999997</v>
      </c>
      <c r="F40" s="8">
        <f t="shared" si="1"/>
        <v>419.88</v>
      </c>
      <c r="G40" s="9">
        <f t="shared" si="5"/>
        <v>2939.16</v>
      </c>
      <c r="H40" s="37">
        <v>3354.4</v>
      </c>
      <c r="I40" s="10"/>
      <c r="J40" s="10"/>
      <c r="K40" s="119"/>
      <c r="L40" s="19"/>
      <c r="M40" s="13">
        <f t="shared" si="6"/>
        <v>5395.6</v>
      </c>
      <c r="N40" s="14">
        <f t="shared" si="2"/>
        <v>8750</v>
      </c>
      <c r="O40" s="5">
        <v>0.03</v>
      </c>
      <c r="P40" s="33">
        <f t="shared" si="3"/>
        <v>539.56000000000006</v>
      </c>
      <c r="Q40" s="33">
        <f t="shared" si="4"/>
        <v>582.72480000000007</v>
      </c>
    </row>
    <row r="41" spans="1:17" s="55" customFormat="1" x14ac:dyDescent="0.25">
      <c r="A41" s="5">
        <v>283</v>
      </c>
      <c r="B41" s="6" t="s">
        <v>66</v>
      </c>
      <c r="C41" s="7">
        <v>5000</v>
      </c>
      <c r="D41" s="7">
        <v>419.88</v>
      </c>
      <c r="E41" s="8">
        <f t="shared" si="0"/>
        <v>2519.2799999999997</v>
      </c>
      <c r="F41" s="8">
        <f t="shared" si="1"/>
        <v>419.88</v>
      </c>
      <c r="G41" s="9">
        <f t="shared" si="5"/>
        <v>2939.16</v>
      </c>
      <c r="H41" s="37">
        <v>3354.4</v>
      </c>
      <c r="I41" s="10"/>
      <c r="J41" s="10">
        <v>35</v>
      </c>
      <c r="K41" s="120"/>
      <c r="L41" s="12"/>
      <c r="M41" s="13">
        <f t="shared" si="6"/>
        <v>1610.6</v>
      </c>
      <c r="N41" s="14">
        <f t="shared" si="2"/>
        <v>4965</v>
      </c>
      <c r="O41" s="5">
        <v>0.03</v>
      </c>
      <c r="P41" s="33">
        <f t="shared" si="3"/>
        <v>161.06</v>
      </c>
      <c r="Q41" s="33">
        <f t="shared" si="4"/>
        <v>173.94480000000001</v>
      </c>
    </row>
    <row r="42" spans="1:17" s="55" customFormat="1" x14ac:dyDescent="0.25">
      <c r="A42" s="5">
        <v>284</v>
      </c>
      <c r="B42" s="6" t="s">
        <v>67</v>
      </c>
      <c r="C42" s="7">
        <v>4000</v>
      </c>
      <c r="D42" s="7">
        <v>419.88</v>
      </c>
      <c r="E42" s="8">
        <f t="shared" si="0"/>
        <v>2519.2799999999997</v>
      </c>
      <c r="F42" s="8">
        <f t="shared" si="1"/>
        <v>419.88</v>
      </c>
      <c r="G42" s="9">
        <f t="shared" si="5"/>
        <v>2939.16</v>
      </c>
      <c r="H42" s="37">
        <v>3354.4</v>
      </c>
      <c r="I42" s="10">
        <v>150</v>
      </c>
      <c r="J42" s="10">
        <v>70</v>
      </c>
      <c r="K42" s="119"/>
      <c r="L42" s="19"/>
      <c r="M42" s="13">
        <f t="shared" si="6"/>
        <v>425.59999999999991</v>
      </c>
      <c r="N42" s="14">
        <f t="shared" si="2"/>
        <v>3780</v>
      </c>
      <c r="O42" s="5" t="s">
        <v>48</v>
      </c>
      <c r="P42" s="33">
        <f t="shared" si="3"/>
        <v>42.559999999999995</v>
      </c>
      <c r="Q42" s="33">
        <f t="shared" si="4"/>
        <v>45.964799999999997</v>
      </c>
    </row>
    <row r="43" spans="1:17" s="55" customFormat="1" x14ac:dyDescent="0.25">
      <c r="A43" s="5">
        <v>285</v>
      </c>
      <c r="B43" s="6" t="s">
        <v>68</v>
      </c>
      <c r="C43" s="7">
        <v>4000</v>
      </c>
      <c r="D43" s="7">
        <v>419.88</v>
      </c>
      <c r="E43" s="8">
        <f t="shared" si="0"/>
        <v>2519.2799999999997</v>
      </c>
      <c r="F43" s="8">
        <f t="shared" si="1"/>
        <v>419.88</v>
      </c>
      <c r="G43" s="9">
        <f t="shared" si="5"/>
        <v>2939.16</v>
      </c>
      <c r="H43" s="37">
        <v>3354.4</v>
      </c>
      <c r="I43" s="10">
        <v>225</v>
      </c>
      <c r="J43" s="10">
        <v>35</v>
      </c>
      <c r="K43" s="120"/>
      <c r="L43" s="19"/>
      <c r="M43" s="13">
        <f>C43-H43-I43+L43-K43-J43</f>
        <v>385.59999999999991</v>
      </c>
      <c r="N43" s="14">
        <f t="shared" si="2"/>
        <v>3740</v>
      </c>
      <c r="O43" s="5" t="s">
        <v>48</v>
      </c>
      <c r="P43" s="33">
        <f t="shared" si="3"/>
        <v>38.559999999999995</v>
      </c>
      <c r="Q43" s="33">
        <f t="shared" si="4"/>
        <v>41.644799999999996</v>
      </c>
    </row>
    <row r="44" spans="1:17" s="55" customFormat="1" x14ac:dyDescent="0.25">
      <c r="A44" s="5">
        <v>286</v>
      </c>
      <c r="B44" s="6" t="s">
        <v>69</v>
      </c>
      <c r="C44" s="7">
        <v>4000</v>
      </c>
      <c r="D44" s="7">
        <v>419.88</v>
      </c>
      <c r="E44" s="8">
        <f t="shared" si="0"/>
        <v>2519.2799999999997</v>
      </c>
      <c r="F44" s="8">
        <f t="shared" si="1"/>
        <v>419.88</v>
      </c>
      <c r="G44" s="9">
        <f t="shared" si="5"/>
        <v>2939.16</v>
      </c>
      <c r="H44" s="37">
        <v>3354.2</v>
      </c>
      <c r="I44" s="10"/>
      <c r="J44" s="10"/>
      <c r="K44" s="119"/>
      <c r="L44" s="19"/>
      <c r="M44" s="13">
        <f t="shared" si="6"/>
        <v>645.80000000000018</v>
      </c>
      <c r="N44" s="14">
        <f t="shared" si="2"/>
        <v>4000</v>
      </c>
      <c r="O44" s="5" t="s">
        <v>118</v>
      </c>
      <c r="P44" s="33">
        <f t="shared" si="3"/>
        <v>64.580000000000027</v>
      </c>
      <c r="Q44" s="33">
        <f t="shared" si="4"/>
        <v>69.746400000000037</v>
      </c>
    </row>
    <row r="45" spans="1:17" s="55" customFormat="1" x14ac:dyDescent="0.25">
      <c r="A45" s="5">
        <v>287</v>
      </c>
      <c r="B45" s="6" t="s">
        <v>72</v>
      </c>
      <c r="C45" s="7">
        <v>5000</v>
      </c>
      <c r="D45" s="7">
        <v>419.88</v>
      </c>
      <c r="E45" s="8">
        <f t="shared" si="0"/>
        <v>2519.2799999999997</v>
      </c>
      <c r="F45" s="8">
        <f t="shared" si="1"/>
        <v>419.88</v>
      </c>
      <c r="G45" s="9">
        <f t="shared" si="5"/>
        <v>2939.16</v>
      </c>
      <c r="H45" s="37">
        <v>2879.2</v>
      </c>
      <c r="I45" s="10">
        <v>375</v>
      </c>
      <c r="J45" s="10">
        <v>140</v>
      </c>
      <c r="K45" s="120">
        <v>587.84</v>
      </c>
      <c r="L45" s="19"/>
      <c r="M45" s="13">
        <f>C45-H45-I45+L45-K45-J45</f>
        <v>1017.96</v>
      </c>
      <c r="N45" s="14">
        <f t="shared" si="2"/>
        <v>3897.16</v>
      </c>
      <c r="O45" s="5" t="s">
        <v>118</v>
      </c>
      <c r="P45" s="33">
        <f t="shared" si="3"/>
        <v>101.79600000000001</v>
      </c>
      <c r="Q45" s="33">
        <f t="shared" si="4"/>
        <v>109.93968000000001</v>
      </c>
    </row>
    <row r="46" spans="1:17" s="55" customFormat="1" x14ac:dyDescent="0.25">
      <c r="A46" s="5">
        <v>288</v>
      </c>
      <c r="B46" s="6" t="s">
        <v>73</v>
      </c>
      <c r="C46" s="7">
        <v>3500</v>
      </c>
      <c r="D46" s="7">
        <v>419.88</v>
      </c>
      <c r="E46" s="8">
        <f t="shared" si="0"/>
        <v>2519.2799999999997</v>
      </c>
      <c r="F46" s="8">
        <f t="shared" si="1"/>
        <v>419.88</v>
      </c>
      <c r="G46" s="9">
        <f t="shared" si="5"/>
        <v>2939.16</v>
      </c>
      <c r="H46" s="37">
        <v>3354.4</v>
      </c>
      <c r="I46" s="10"/>
      <c r="J46" s="10"/>
      <c r="K46" s="119"/>
      <c r="L46" s="19">
        <v>1774.99</v>
      </c>
      <c r="M46" s="13">
        <f>C46-H46-I46+L46-K46-J46</f>
        <v>1920.59</v>
      </c>
      <c r="N46" s="14">
        <f t="shared" si="2"/>
        <v>5274.99</v>
      </c>
      <c r="O46" s="5">
        <v>0.03</v>
      </c>
      <c r="P46" s="33">
        <f t="shared" si="3"/>
        <v>192.059</v>
      </c>
      <c r="Q46" s="33">
        <f t="shared" si="4"/>
        <v>207.42372</v>
      </c>
    </row>
    <row r="47" spans="1:17" x14ac:dyDescent="0.25">
      <c r="A47" s="5">
        <v>289</v>
      </c>
      <c r="B47" s="6" t="s">
        <v>74</v>
      </c>
      <c r="C47" s="7">
        <v>3500</v>
      </c>
      <c r="D47" s="7">
        <v>419.88</v>
      </c>
      <c r="E47" s="8">
        <f t="shared" si="0"/>
        <v>2519.2799999999997</v>
      </c>
      <c r="F47" s="8">
        <f t="shared" si="1"/>
        <v>419.88</v>
      </c>
      <c r="G47" s="9">
        <f t="shared" si="5"/>
        <v>2939.16</v>
      </c>
      <c r="H47" s="37">
        <v>3354.4</v>
      </c>
      <c r="I47" s="10"/>
      <c r="J47" s="10"/>
      <c r="K47" s="119"/>
      <c r="L47" s="19">
        <f>1500+1043.99</f>
        <v>2543.9899999999998</v>
      </c>
      <c r="M47" s="13">
        <f t="shared" si="6"/>
        <v>2689.5899999999997</v>
      </c>
      <c r="N47" s="14">
        <f t="shared" si="2"/>
        <v>6043.99</v>
      </c>
      <c r="O47" s="5">
        <v>0.03</v>
      </c>
      <c r="P47" s="33">
        <f t="shared" si="3"/>
        <v>268.959</v>
      </c>
      <c r="Q47" s="33">
        <f t="shared" si="4"/>
        <v>290.47572000000002</v>
      </c>
    </row>
    <row r="48" spans="1:17" x14ac:dyDescent="0.25">
      <c r="A48" s="5">
        <v>291</v>
      </c>
      <c r="B48" s="6" t="s">
        <v>78</v>
      </c>
      <c r="C48" s="7">
        <v>4250</v>
      </c>
      <c r="D48" s="7">
        <v>419.88</v>
      </c>
      <c r="E48" s="8">
        <f t="shared" si="0"/>
        <v>2519.2799999999997</v>
      </c>
      <c r="F48" s="8">
        <f t="shared" si="1"/>
        <v>419.88</v>
      </c>
      <c r="G48" s="9">
        <f t="shared" si="5"/>
        <v>2939.16</v>
      </c>
      <c r="H48" s="37">
        <v>3354.4</v>
      </c>
      <c r="I48" s="10"/>
      <c r="J48" s="10">
        <v>35</v>
      </c>
      <c r="K48" s="119"/>
      <c r="L48" s="19"/>
      <c r="M48" s="13">
        <f t="shared" si="6"/>
        <v>860.59999999999991</v>
      </c>
      <c r="N48" s="14">
        <f t="shared" si="2"/>
        <v>4215</v>
      </c>
      <c r="O48" s="5">
        <v>0.03</v>
      </c>
      <c r="P48" s="33">
        <f t="shared" si="3"/>
        <v>86.06</v>
      </c>
      <c r="Q48" s="33">
        <f t="shared" si="4"/>
        <v>92.944800000000015</v>
      </c>
    </row>
    <row r="49" spans="1:17" x14ac:dyDescent="0.25">
      <c r="A49" s="5">
        <v>293</v>
      </c>
      <c r="B49" s="6" t="s">
        <v>89</v>
      </c>
      <c r="C49" s="7">
        <v>4000</v>
      </c>
      <c r="D49" s="7">
        <v>419.88</v>
      </c>
      <c r="E49" s="8">
        <f t="shared" si="0"/>
        <v>2519.2799999999997</v>
      </c>
      <c r="F49" s="8">
        <f t="shared" si="1"/>
        <v>419.88</v>
      </c>
      <c r="G49" s="9">
        <f t="shared" si="5"/>
        <v>2939.16</v>
      </c>
      <c r="H49" s="37">
        <v>3354.4</v>
      </c>
      <c r="I49" s="10"/>
      <c r="J49" s="10">
        <v>70</v>
      </c>
      <c r="K49" s="119"/>
      <c r="L49" s="12"/>
      <c r="M49" s="13">
        <f t="shared" si="6"/>
        <v>575.59999999999991</v>
      </c>
      <c r="N49" s="14">
        <f t="shared" si="2"/>
        <v>3930</v>
      </c>
      <c r="O49" s="5">
        <v>0.03</v>
      </c>
      <c r="P49" s="33">
        <f t="shared" si="3"/>
        <v>57.559999999999995</v>
      </c>
      <c r="Q49" s="33">
        <f t="shared" si="4"/>
        <v>62.1648</v>
      </c>
    </row>
    <row r="50" spans="1:17" x14ac:dyDescent="0.25">
      <c r="A50" s="5">
        <v>294</v>
      </c>
      <c r="B50" s="6" t="s">
        <v>91</v>
      </c>
      <c r="C50" s="7">
        <v>4000</v>
      </c>
      <c r="D50" s="7">
        <v>419.88</v>
      </c>
      <c r="E50" s="8">
        <f t="shared" si="0"/>
        <v>2519.2799999999997</v>
      </c>
      <c r="F50" s="8">
        <f t="shared" si="1"/>
        <v>419.88</v>
      </c>
      <c r="G50" s="9">
        <f t="shared" si="5"/>
        <v>2939.16</v>
      </c>
      <c r="H50" s="37">
        <v>3354.4</v>
      </c>
      <c r="I50" s="10">
        <v>375</v>
      </c>
      <c r="J50" s="10">
        <v>140</v>
      </c>
      <c r="K50" s="120"/>
      <c r="L50" s="12"/>
      <c r="M50" s="13">
        <f t="shared" si="6"/>
        <v>130.59999999999991</v>
      </c>
      <c r="N50" s="14">
        <f t="shared" si="2"/>
        <v>3485</v>
      </c>
      <c r="O50" s="5">
        <v>0.03</v>
      </c>
      <c r="P50" s="33">
        <f t="shared" si="3"/>
        <v>13.059999999999992</v>
      </c>
      <c r="Q50" s="33">
        <f t="shared" si="4"/>
        <v>14.104799999999992</v>
      </c>
    </row>
    <row r="51" spans="1:17" x14ac:dyDescent="0.25">
      <c r="A51" s="5">
        <v>295</v>
      </c>
      <c r="B51" s="6" t="s">
        <v>104</v>
      </c>
      <c r="C51" s="7">
        <v>5500</v>
      </c>
      <c r="D51" s="7">
        <v>419.88</v>
      </c>
      <c r="E51" s="8">
        <f t="shared" si="0"/>
        <v>2519.2799999999997</v>
      </c>
      <c r="F51" s="8">
        <f t="shared" si="1"/>
        <v>419.88</v>
      </c>
      <c r="G51" s="9">
        <f t="shared" si="5"/>
        <v>2939.16</v>
      </c>
      <c r="H51" s="37">
        <v>3354.4</v>
      </c>
      <c r="I51" s="10">
        <v>375</v>
      </c>
      <c r="J51" s="10">
        <v>140</v>
      </c>
      <c r="K51" s="120"/>
      <c r="L51" s="12"/>
      <c r="M51" s="22">
        <f t="shared" si="6"/>
        <v>1630.6</v>
      </c>
      <c r="N51" s="14">
        <f t="shared" si="2"/>
        <v>4985</v>
      </c>
      <c r="O51" s="5" t="s">
        <v>118</v>
      </c>
      <c r="P51" s="33">
        <f t="shared" si="3"/>
        <v>163.06</v>
      </c>
      <c r="Q51" s="33">
        <f t="shared" si="4"/>
        <v>176.10480000000001</v>
      </c>
    </row>
    <row r="52" spans="1:17" x14ac:dyDescent="0.25">
      <c r="A52" s="5">
        <v>298</v>
      </c>
      <c r="B52" s="6" t="s">
        <v>115</v>
      </c>
      <c r="C52" s="7">
        <v>5000</v>
      </c>
      <c r="D52" s="7">
        <v>419.88</v>
      </c>
      <c r="E52" s="8">
        <f t="shared" si="0"/>
        <v>2519.2799999999997</v>
      </c>
      <c r="F52" s="8">
        <f t="shared" si="1"/>
        <v>419.88</v>
      </c>
      <c r="G52" s="9">
        <f t="shared" si="5"/>
        <v>2939.16</v>
      </c>
      <c r="H52" s="37">
        <v>1822.8</v>
      </c>
      <c r="I52" s="10">
        <v>375</v>
      </c>
      <c r="J52" s="10">
        <v>105</v>
      </c>
      <c r="K52" s="123">
        <v>1461.5</v>
      </c>
      <c r="L52" s="12"/>
      <c r="M52" s="22">
        <f t="shared" si="6"/>
        <v>1235.6999999999998</v>
      </c>
      <c r="N52" s="14">
        <f t="shared" si="2"/>
        <v>3058.5</v>
      </c>
      <c r="O52" s="5">
        <v>0.03</v>
      </c>
      <c r="P52" s="33">
        <f t="shared" si="3"/>
        <v>123.57</v>
      </c>
      <c r="Q52" s="33">
        <f t="shared" si="4"/>
        <v>133.4556</v>
      </c>
    </row>
    <row r="53" spans="1:17" s="55" customFormat="1" x14ac:dyDescent="0.25">
      <c r="A53" s="5">
        <v>300</v>
      </c>
      <c r="B53" s="6" t="s">
        <v>121</v>
      </c>
      <c r="C53" s="7">
        <v>6250</v>
      </c>
      <c r="D53" s="7">
        <v>419.88</v>
      </c>
      <c r="E53" s="8">
        <f t="shared" si="0"/>
        <v>2519.2799999999997</v>
      </c>
      <c r="F53" s="8">
        <f t="shared" si="1"/>
        <v>419.88</v>
      </c>
      <c r="G53" s="9">
        <f t="shared" si="5"/>
        <v>2939.16</v>
      </c>
      <c r="H53" s="37">
        <v>3354.2</v>
      </c>
      <c r="I53" s="10"/>
      <c r="J53" s="10"/>
      <c r="K53" s="119"/>
      <c r="L53" s="12"/>
      <c r="M53" s="22">
        <f t="shared" si="6"/>
        <v>2895.8</v>
      </c>
      <c r="N53" s="14">
        <f t="shared" si="2"/>
        <v>6250</v>
      </c>
      <c r="O53" s="5">
        <v>0.03</v>
      </c>
      <c r="P53" s="33">
        <f t="shared" si="3"/>
        <v>289.58000000000004</v>
      </c>
      <c r="Q53" s="33">
        <f t="shared" si="4"/>
        <v>312.74640000000005</v>
      </c>
    </row>
    <row r="54" spans="1:17" s="55" customFormat="1" x14ac:dyDescent="0.25">
      <c r="A54" s="5">
        <v>301</v>
      </c>
      <c r="B54" s="6" t="s">
        <v>124</v>
      </c>
      <c r="C54" s="7">
        <v>5000</v>
      </c>
      <c r="D54" s="7">
        <v>419.88</v>
      </c>
      <c r="E54" s="8">
        <f t="shared" si="0"/>
        <v>2519.2799999999997</v>
      </c>
      <c r="F54" s="8">
        <f t="shared" si="1"/>
        <v>419.88</v>
      </c>
      <c r="G54" s="9">
        <f t="shared" si="5"/>
        <v>2939.16</v>
      </c>
      <c r="H54" s="37">
        <v>3354.4</v>
      </c>
      <c r="I54" s="10"/>
      <c r="J54" s="10"/>
      <c r="K54" s="119"/>
      <c r="L54" s="12"/>
      <c r="M54" s="22">
        <f t="shared" si="6"/>
        <v>1645.6</v>
      </c>
      <c r="N54" s="14">
        <f t="shared" si="2"/>
        <v>5000</v>
      </c>
      <c r="O54" s="5">
        <v>0.03</v>
      </c>
      <c r="P54" s="33">
        <f t="shared" si="3"/>
        <v>164.56</v>
      </c>
      <c r="Q54" s="33">
        <f t="shared" si="4"/>
        <v>177.72480000000002</v>
      </c>
    </row>
    <row r="55" spans="1:17" s="55" customFormat="1" x14ac:dyDescent="0.25">
      <c r="A55" s="5">
        <v>302</v>
      </c>
      <c r="B55" s="6" t="s">
        <v>128</v>
      </c>
      <c r="C55" s="7">
        <v>5000</v>
      </c>
      <c r="D55" s="7">
        <v>419.88</v>
      </c>
      <c r="E55" s="8">
        <f t="shared" si="0"/>
        <v>2519.2799999999997</v>
      </c>
      <c r="F55" s="8">
        <f t="shared" si="1"/>
        <v>419.88</v>
      </c>
      <c r="G55" s="9">
        <f t="shared" si="5"/>
        <v>2939.16</v>
      </c>
      <c r="H55" s="37">
        <v>3354.4</v>
      </c>
      <c r="I55" s="10">
        <v>75</v>
      </c>
      <c r="J55" s="10">
        <v>35</v>
      </c>
      <c r="K55" s="119"/>
      <c r="L55" s="12"/>
      <c r="M55" s="22">
        <f t="shared" si="6"/>
        <v>1535.6</v>
      </c>
      <c r="N55" s="14">
        <f t="shared" si="2"/>
        <v>4890</v>
      </c>
      <c r="O55" s="5">
        <v>0.03</v>
      </c>
      <c r="P55" s="33">
        <f t="shared" si="3"/>
        <v>153.56</v>
      </c>
      <c r="Q55" s="33">
        <f t="shared" si="4"/>
        <v>165.84480000000002</v>
      </c>
    </row>
    <row r="56" spans="1:17" s="55" customFormat="1" x14ac:dyDescent="0.25">
      <c r="A56" s="5">
        <v>303</v>
      </c>
      <c r="B56" s="6" t="s">
        <v>129</v>
      </c>
      <c r="C56" s="7">
        <v>4000</v>
      </c>
      <c r="D56" s="7">
        <v>419.88</v>
      </c>
      <c r="E56" s="8">
        <f t="shared" si="0"/>
        <v>2519.2799999999997</v>
      </c>
      <c r="F56" s="8">
        <f t="shared" si="1"/>
        <v>419.88</v>
      </c>
      <c r="G56" s="9">
        <f t="shared" si="5"/>
        <v>2939.16</v>
      </c>
      <c r="H56" s="37">
        <v>3354.2</v>
      </c>
      <c r="I56" s="10">
        <v>375</v>
      </c>
      <c r="J56" s="10"/>
      <c r="K56" s="119"/>
      <c r="L56" s="12"/>
      <c r="M56" s="22">
        <f t="shared" ref="M56:M63" si="7">C56-H56-I56+L56-K56-J56</f>
        <v>270.80000000000018</v>
      </c>
      <c r="N56" s="14">
        <f t="shared" si="2"/>
        <v>3625</v>
      </c>
      <c r="O56" s="5">
        <v>0.03</v>
      </c>
      <c r="P56" s="33">
        <f t="shared" si="3"/>
        <v>27.08000000000002</v>
      </c>
      <c r="Q56" s="33">
        <f t="shared" si="4"/>
        <v>29.246400000000023</v>
      </c>
    </row>
    <row r="57" spans="1:17" s="55" customFormat="1" x14ac:dyDescent="0.25">
      <c r="A57" s="5">
        <v>304</v>
      </c>
      <c r="B57" s="6" t="s">
        <v>131</v>
      </c>
      <c r="C57" s="7">
        <v>4500</v>
      </c>
      <c r="D57" s="7">
        <v>419.88</v>
      </c>
      <c r="E57" s="8">
        <f t="shared" si="0"/>
        <v>2519.2799999999997</v>
      </c>
      <c r="F57" s="8">
        <f t="shared" si="1"/>
        <v>419.88</v>
      </c>
      <c r="G57" s="9">
        <f t="shared" si="5"/>
        <v>2939.16</v>
      </c>
      <c r="H57" s="37">
        <v>3354.4</v>
      </c>
      <c r="I57" s="10"/>
      <c r="J57" s="10">
        <v>140</v>
      </c>
      <c r="K57" s="119"/>
      <c r="L57" s="12"/>
      <c r="M57" s="22">
        <f t="shared" si="7"/>
        <v>1005.5999999999999</v>
      </c>
      <c r="N57" s="14">
        <f t="shared" si="2"/>
        <v>4360</v>
      </c>
      <c r="O57" s="5">
        <v>0.03</v>
      </c>
      <c r="P57" s="33">
        <f t="shared" si="3"/>
        <v>100.56</v>
      </c>
      <c r="Q57" s="33">
        <f t="shared" si="4"/>
        <v>108.60480000000001</v>
      </c>
    </row>
    <row r="58" spans="1:17" s="55" customFormat="1" x14ac:dyDescent="0.25">
      <c r="A58" s="5">
        <v>306</v>
      </c>
      <c r="B58" s="6" t="s">
        <v>136</v>
      </c>
      <c r="C58" s="7">
        <v>4000</v>
      </c>
      <c r="D58" s="7">
        <v>419.88</v>
      </c>
      <c r="E58" s="8">
        <f t="shared" si="0"/>
        <v>2519.2799999999997</v>
      </c>
      <c r="F58" s="8">
        <f t="shared" si="1"/>
        <v>419.88</v>
      </c>
      <c r="G58" s="9">
        <f t="shared" si="5"/>
        <v>2939.16</v>
      </c>
      <c r="H58" s="115">
        <v>3354.2</v>
      </c>
      <c r="I58" s="10">
        <v>375</v>
      </c>
      <c r="J58" s="10">
        <v>140</v>
      </c>
      <c r="K58" s="119"/>
      <c r="L58" s="12"/>
      <c r="M58" s="22">
        <f t="shared" si="7"/>
        <v>130.80000000000018</v>
      </c>
      <c r="N58" s="14">
        <f t="shared" si="2"/>
        <v>3485</v>
      </c>
      <c r="O58" s="5">
        <v>0.03</v>
      </c>
      <c r="P58" s="33">
        <f t="shared" si="3"/>
        <v>13.08000000000002</v>
      </c>
      <c r="Q58" s="33">
        <f t="shared" si="4"/>
        <v>14.126400000000022</v>
      </c>
    </row>
    <row r="59" spans="1:17" s="55" customFormat="1" x14ac:dyDescent="0.25">
      <c r="A59" s="5">
        <v>307</v>
      </c>
      <c r="B59" s="6" t="s">
        <v>140</v>
      </c>
      <c r="C59" s="7">
        <v>4000</v>
      </c>
      <c r="D59" s="7">
        <v>419.88</v>
      </c>
      <c r="E59" s="8">
        <f t="shared" si="0"/>
        <v>2519.2799999999997</v>
      </c>
      <c r="F59" s="8">
        <f t="shared" si="1"/>
        <v>419.88</v>
      </c>
      <c r="G59" s="9">
        <f t="shared" si="5"/>
        <v>2939.16</v>
      </c>
      <c r="H59" s="115">
        <v>3354.2</v>
      </c>
      <c r="I59" s="10">
        <v>375</v>
      </c>
      <c r="J59" s="10">
        <v>140</v>
      </c>
      <c r="K59" s="119"/>
      <c r="L59" s="12"/>
      <c r="M59" s="22">
        <f t="shared" si="7"/>
        <v>130.80000000000018</v>
      </c>
      <c r="N59" s="14">
        <f t="shared" si="2"/>
        <v>3485</v>
      </c>
      <c r="O59" s="5">
        <v>0.03</v>
      </c>
      <c r="P59" s="33">
        <f t="shared" si="3"/>
        <v>13.08000000000002</v>
      </c>
      <c r="Q59" s="33">
        <f t="shared" si="4"/>
        <v>14.126400000000022</v>
      </c>
    </row>
    <row r="60" spans="1:17" s="55" customFormat="1" x14ac:dyDescent="0.25">
      <c r="A60" s="5">
        <v>308</v>
      </c>
      <c r="B60" s="6" t="s">
        <v>138</v>
      </c>
      <c r="C60" s="7">
        <v>2700</v>
      </c>
      <c r="D60" s="7">
        <v>420.88</v>
      </c>
      <c r="E60" s="8">
        <f t="shared" si="0"/>
        <v>2525.2799999999997</v>
      </c>
      <c r="F60" s="8">
        <f t="shared" si="1"/>
        <v>420.88</v>
      </c>
      <c r="G60" s="9">
        <f t="shared" si="5"/>
        <v>2946.16</v>
      </c>
      <c r="H60" s="115">
        <v>2560</v>
      </c>
      <c r="I60" s="10"/>
      <c r="J60" s="10">
        <v>140</v>
      </c>
      <c r="K60" s="119"/>
      <c r="L60" s="12"/>
      <c r="M60" s="22">
        <f t="shared" si="7"/>
        <v>0</v>
      </c>
      <c r="N60" s="14">
        <f t="shared" si="2"/>
        <v>2560</v>
      </c>
      <c r="O60" s="5">
        <v>0.03</v>
      </c>
      <c r="P60" s="33">
        <f t="shared" si="3"/>
        <v>0</v>
      </c>
      <c r="Q60" s="33">
        <f t="shared" si="4"/>
        <v>0</v>
      </c>
    </row>
    <row r="61" spans="1:17" s="55" customFormat="1" x14ac:dyDescent="0.25">
      <c r="A61" s="5">
        <v>309</v>
      </c>
      <c r="B61" s="6" t="s">
        <v>143</v>
      </c>
      <c r="C61" s="7">
        <v>4000</v>
      </c>
      <c r="D61" s="7">
        <v>419.88</v>
      </c>
      <c r="E61" s="8">
        <f t="shared" si="0"/>
        <v>2519.2799999999997</v>
      </c>
      <c r="F61" s="8">
        <f t="shared" si="1"/>
        <v>419.88</v>
      </c>
      <c r="G61" s="9">
        <f t="shared" si="5"/>
        <v>2939.16</v>
      </c>
      <c r="H61" s="115">
        <v>3354.4</v>
      </c>
      <c r="I61" s="10">
        <v>75</v>
      </c>
      <c r="J61" s="10">
        <v>70</v>
      </c>
      <c r="K61" s="119"/>
      <c r="L61" s="12"/>
      <c r="M61" s="22">
        <f t="shared" si="7"/>
        <v>500.59999999999991</v>
      </c>
      <c r="N61" s="14">
        <f t="shared" si="2"/>
        <v>3855</v>
      </c>
      <c r="O61" s="5">
        <v>0.03</v>
      </c>
      <c r="P61" s="33">
        <f t="shared" si="3"/>
        <v>50.059999999999995</v>
      </c>
      <c r="Q61" s="33">
        <f t="shared" si="4"/>
        <v>54.064799999999998</v>
      </c>
    </row>
    <row r="62" spans="1:17" s="55" customFormat="1" x14ac:dyDescent="0.25">
      <c r="A62" s="5">
        <v>310</v>
      </c>
      <c r="B62" s="6" t="s">
        <v>147</v>
      </c>
      <c r="C62" s="7">
        <v>5000</v>
      </c>
      <c r="D62" s="7">
        <v>419.88</v>
      </c>
      <c r="E62" s="8">
        <f>D62*6</f>
        <v>2519.2799999999997</v>
      </c>
      <c r="F62" s="8">
        <f t="shared" si="1"/>
        <v>419.88</v>
      </c>
      <c r="G62" s="9">
        <f>E62+F62</f>
        <v>2939.16</v>
      </c>
      <c r="H62" s="115">
        <v>3354.2</v>
      </c>
      <c r="I62" s="10">
        <v>375</v>
      </c>
      <c r="J62" s="10"/>
      <c r="K62" s="119"/>
      <c r="L62" s="12"/>
      <c r="M62" s="22">
        <f t="shared" si="7"/>
        <v>1270.8000000000002</v>
      </c>
      <c r="N62" s="14">
        <f>H62+M62</f>
        <v>4625</v>
      </c>
      <c r="O62" s="5">
        <v>0.03</v>
      </c>
      <c r="P62" s="33">
        <f>+M62*0.1</f>
        <v>127.08000000000003</v>
      </c>
      <c r="Q62" s="33">
        <f>+P62*1.08</f>
        <v>137.24640000000005</v>
      </c>
    </row>
    <row r="63" spans="1:17" s="55" customFormat="1" x14ac:dyDescent="0.25">
      <c r="A63" s="5">
        <v>311</v>
      </c>
      <c r="B63" s="6" t="s">
        <v>149</v>
      </c>
      <c r="C63" s="7">
        <v>4000</v>
      </c>
      <c r="D63" s="7">
        <v>419.88</v>
      </c>
      <c r="E63" s="8">
        <f t="shared" si="0"/>
        <v>2519.2799999999997</v>
      </c>
      <c r="F63" s="8">
        <f t="shared" si="1"/>
        <v>419.88</v>
      </c>
      <c r="G63" s="9">
        <f t="shared" si="5"/>
        <v>2939.16</v>
      </c>
      <c r="H63" s="115">
        <v>3354.4</v>
      </c>
      <c r="I63" s="10"/>
      <c r="J63" s="10"/>
      <c r="K63" s="119"/>
      <c r="L63" s="12"/>
      <c r="M63" s="22">
        <f t="shared" si="7"/>
        <v>645.59999999999991</v>
      </c>
      <c r="N63" s="14">
        <f t="shared" si="2"/>
        <v>4000</v>
      </c>
      <c r="O63" s="5">
        <v>0.03</v>
      </c>
      <c r="P63" s="33">
        <f t="shared" si="3"/>
        <v>64.559999999999988</v>
      </c>
      <c r="Q63" s="33">
        <f t="shared" si="4"/>
        <v>69.724799999999988</v>
      </c>
    </row>
    <row r="64" spans="1:17" s="55" customFormat="1" ht="16.149999999999999" customHeight="1" thickBot="1" x14ac:dyDescent="0.3">
      <c r="A64"/>
      <c r="B64"/>
      <c r="C64"/>
      <c r="D64"/>
      <c r="E64"/>
      <c r="F64"/>
      <c r="G64"/>
      <c r="H64" s="117"/>
      <c r="I64"/>
      <c r="J64"/>
      <c r="K64"/>
      <c r="L64"/>
      <c r="M64"/>
      <c r="N64"/>
      <c r="O64"/>
      <c r="P64"/>
      <c r="Q64"/>
    </row>
    <row r="65" spans="1:18" ht="18" thickBot="1" x14ac:dyDescent="0.35">
      <c r="A65" s="23"/>
      <c r="B65" s="24"/>
      <c r="C65" s="25">
        <f t="shared" ref="C65:N65" si="8">SUM(C4:C64)</f>
        <v>301575</v>
      </c>
      <c r="D65" s="25">
        <f t="shared" si="8"/>
        <v>25193.800000000007</v>
      </c>
      <c r="E65" s="25">
        <f t="shared" si="8"/>
        <v>151162.79999999996</v>
      </c>
      <c r="F65" s="25">
        <f t="shared" si="8"/>
        <v>25193.800000000007</v>
      </c>
      <c r="G65" s="25">
        <f t="shared" si="8"/>
        <v>176356.60000000015</v>
      </c>
      <c r="H65" s="118">
        <f t="shared" si="8"/>
        <v>190456.99999999991</v>
      </c>
      <c r="I65" s="26">
        <f>SUM(I4:I64)</f>
        <v>9750</v>
      </c>
      <c r="J65" s="26">
        <f>SUM(J4:J64)</f>
        <v>3675</v>
      </c>
      <c r="K65" s="26">
        <f t="shared" si="8"/>
        <v>12303.35</v>
      </c>
      <c r="L65" s="27">
        <f t="shared" si="8"/>
        <v>6211.67</v>
      </c>
      <c r="M65" s="25">
        <f t="shared" si="8"/>
        <v>91601.44000000009</v>
      </c>
      <c r="N65" s="25">
        <f t="shared" si="8"/>
        <v>282058.43999999994</v>
      </c>
      <c r="P65" s="25">
        <f>SUM(P4:P64)</f>
        <v>9160.1440000000002</v>
      </c>
      <c r="Q65" s="25">
        <f>SUM(Q4:Q64)</f>
        <v>9892.9555199999959</v>
      </c>
      <c r="R65" s="55">
        <f>+N65+Q65</f>
        <v>291951.39551999996</v>
      </c>
    </row>
    <row r="66" spans="1:18" x14ac:dyDescent="0.25">
      <c r="I66" s="15">
        <f>I65/75</f>
        <v>130</v>
      </c>
      <c r="J66" s="15">
        <f>J65/35</f>
        <v>105</v>
      </c>
    </row>
  </sheetData>
  <autoFilter ref="A3:Q63" xr:uid="{00000000-0009-0000-0000-000019000000}"/>
  <mergeCells count="2">
    <mergeCell ref="A1:N1"/>
    <mergeCell ref="A2:N2"/>
  </mergeCells>
  <pageMargins left="0.25" right="0.25" top="0.75" bottom="0.75" header="0.3" footer="0.3"/>
  <pageSetup scale="59" fitToHeight="0" orientation="landscape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29C37-9355-46B0-B7B4-CA1043ED91DA}">
  <sheetPr>
    <pageSetUpPr fitToPage="1"/>
  </sheetPr>
  <dimension ref="A1:Q71"/>
  <sheetViews>
    <sheetView showGridLines="0" topLeftCell="A4" zoomScaleNormal="100" workbookViewId="0">
      <selection activeCell="K15" sqref="K15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style="117" customWidth="1"/>
    <col min="9" max="14" width="11.42578125" customWidth="1"/>
    <col min="15" max="15" width="8" customWidth="1"/>
    <col min="16" max="17" width="11.42578125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150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116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6</v>
      </c>
      <c r="B4" s="6" t="s">
        <v>14</v>
      </c>
      <c r="C4" s="7">
        <v>4000</v>
      </c>
      <c r="D4" s="7">
        <v>419.88</v>
      </c>
      <c r="E4" s="8">
        <f t="shared" ref="E4:E61" si="0">D4*6</f>
        <v>2519.2799999999997</v>
      </c>
      <c r="F4" s="8">
        <f t="shared" ref="F4:F65" si="1">$D4</f>
        <v>419.88</v>
      </c>
      <c r="G4" s="9">
        <f>E4+F4</f>
        <v>2939.16</v>
      </c>
      <c r="H4" s="37">
        <v>3354.4</v>
      </c>
      <c r="I4" s="10">
        <v>0</v>
      </c>
      <c r="J4" s="10"/>
      <c r="K4" s="119"/>
      <c r="L4" s="19"/>
      <c r="M4" s="13">
        <f>C4-H4-I4+L4-K4-J4</f>
        <v>645.59999999999991</v>
      </c>
      <c r="N4" s="14">
        <f t="shared" ref="N4:N61" si="2">H4+M4</f>
        <v>4000</v>
      </c>
      <c r="O4" s="29" t="s">
        <v>47</v>
      </c>
      <c r="P4" s="33">
        <f t="shared" ref="P4:P62" si="3">+M4*0.1</f>
        <v>64.559999999999988</v>
      </c>
      <c r="Q4" s="33">
        <f t="shared" ref="Q4:Q62" si="4">+P4*1.08</f>
        <v>69.724799999999988</v>
      </c>
    </row>
    <row r="5" spans="1:17" x14ac:dyDescent="0.25">
      <c r="A5" s="36">
        <v>14</v>
      </c>
      <c r="B5" s="6" t="s">
        <v>15</v>
      </c>
      <c r="C5" s="7">
        <v>15000</v>
      </c>
      <c r="D5" s="7">
        <v>419.88</v>
      </c>
      <c r="E5" s="8">
        <f t="shared" si="0"/>
        <v>2519.2799999999997</v>
      </c>
      <c r="F5" s="8">
        <f t="shared" si="1"/>
        <v>419.88</v>
      </c>
      <c r="G5" s="9">
        <f t="shared" ref="G5:G61" si="5">E5+F5</f>
        <v>2939.16</v>
      </c>
      <c r="H5" s="37">
        <v>3354.2</v>
      </c>
      <c r="I5" s="10">
        <v>0</v>
      </c>
      <c r="J5" s="10">
        <v>140</v>
      </c>
      <c r="K5" s="120"/>
      <c r="L5" s="19"/>
      <c r="M5" s="13">
        <f>C5-H5-I5+L5-K5-J5</f>
        <v>11505.8</v>
      </c>
      <c r="N5" s="14">
        <f>H5+M5</f>
        <v>14860</v>
      </c>
      <c r="O5" s="30" t="s">
        <v>118</v>
      </c>
      <c r="P5" s="33">
        <f t="shared" si="3"/>
        <v>1150.58</v>
      </c>
      <c r="Q5" s="33">
        <f t="shared" si="4"/>
        <v>1242.6264000000001</v>
      </c>
    </row>
    <row r="6" spans="1:17" ht="15" customHeight="1" x14ac:dyDescent="0.25">
      <c r="A6" s="36">
        <v>24</v>
      </c>
      <c r="B6" s="6" t="s">
        <v>16</v>
      </c>
      <c r="C6" s="7">
        <v>5000</v>
      </c>
      <c r="D6" s="7">
        <v>419.88</v>
      </c>
      <c r="E6" s="8">
        <f t="shared" si="0"/>
        <v>2519.2799999999997</v>
      </c>
      <c r="F6" s="8">
        <f t="shared" si="1"/>
        <v>419.88</v>
      </c>
      <c r="G6" s="9">
        <f t="shared" si="5"/>
        <v>2939.16</v>
      </c>
      <c r="H6" s="37">
        <v>3354.2</v>
      </c>
      <c r="I6" s="10">
        <v>300</v>
      </c>
      <c r="J6" s="10">
        <v>70</v>
      </c>
      <c r="K6" s="120"/>
      <c r="L6" s="19"/>
      <c r="M6" s="13">
        <f t="shared" ref="M6:M55" si="6">C6-H6-I6+L6-K6-J6</f>
        <v>1275.8000000000002</v>
      </c>
      <c r="N6" s="14">
        <f t="shared" si="2"/>
        <v>4630</v>
      </c>
      <c r="O6" s="36" t="s">
        <v>118</v>
      </c>
      <c r="P6" s="33">
        <f t="shared" si="3"/>
        <v>127.58000000000003</v>
      </c>
      <c r="Q6" s="33">
        <f t="shared" si="4"/>
        <v>137.78640000000004</v>
      </c>
    </row>
    <row r="7" spans="1:17" x14ac:dyDescent="0.25">
      <c r="A7" s="36">
        <v>43</v>
      </c>
      <c r="B7" s="6" t="s">
        <v>17</v>
      </c>
      <c r="C7" s="7">
        <v>4500</v>
      </c>
      <c r="D7" s="7">
        <v>419.88</v>
      </c>
      <c r="E7" s="8">
        <f t="shared" si="0"/>
        <v>2519.2799999999997</v>
      </c>
      <c r="F7" s="8">
        <f t="shared" si="1"/>
        <v>419.88</v>
      </c>
      <c r="G7" s="9">
        <f t="shared" si="5"/>
        <v>2939.16</v>
      </c>
      <c r="H7" s="37">
        <v>3354.2</v>
      </c>
      <c r="I7" s="10">
        <v>225</v>
      </c>
      <c r="J7" s="10">
        <v>105</v>
      </c>
      <c r="K7" s="119"/>
      <c r="L7" s="12"/>
      <c r="M7" s="13">
        <f t="shared" si="6"/>
        <v>815.80000000000018</v>
      </c>
      <c r="N7" s="14">
        <f t="shared" si="2"/>
        <v>4170</v>
      </c>
      <c r="O7" s="30" t="s">
        <v>118</v>
      </c>
      <c r="P7" s="33">
        <f t="shared" si="3"/>
        <v>81.580000000000027</v>
      </c>
      <c r="Q7" s="33">
        <f t="shared" si="4"/>
        <v>88.106400000000036</v>
      </c>
    </row>
    <row r="8" spans="1:17" ht="15.6" customHeight="1" x14ac:dyDescent="0.25">
      <c r="A8" s="36">
        <v>52</v>
      </c>
      <c r="B8" s="6" t="s">
        <v>18</v>
      </c>
      <c r="C8" s="7">
        <v>4000</v>
      </c>
      <c r="D8" s="7">
        <v>419.88</v>
      </c>
      <c r="E8" s="8">
        <f t="shared" si="0"/>
        <v>2519.2799999999997</v>
      </c>
      <c r="F8" s="8">
        <f t="shared" si="1"/>
        <v>419.88</v>
      </c>
      <c r="G8" s="9">
        <f t="shared" si="5"/>
        <v>2939.16</v>
      </c>
      <c r="H8" s="37">
        <v>3704.8</v>
      </c>
      <c r="I8" s="10">
        <v>225</v>
      </c>
      <c r="J8" s="10">
        <v>210</v>
      </c>
      <c r="K8" s="120">
        <v>587.84</v>
      </c>
      <c r="L8" s="12">
        <v>1285.7142857142862</v>
      </c>
      <c r="M8" s="22">
        <f t="shared" si="6"/>
        <v>558.07428571428602</v>
      </c>
      <c r="N8" s="14">
        <f t="shared" si="2"/>
        <v>4262.8742857142861</v>
      </c>
      <c r="O8" s="30" t="s">
        <v>47</v>
      </c>
      <c r="P8" s="33">
        <f t="shared" si="3"/>
        <v>55.807428571428602</v>
      </c>
      <c r="Q8" s="33">
        <f t="shared" si="4"/>
        <v>60.272022857142893</v>
      </c>
    </row>
    <row r="9" spans="1:17" x14ac:dyDescent="0.25">
      <c r="A9" s="5">
        <v>62</v>
      </c>
      <c r="B9" s="17" t="s">
        <v>19</v>
      </c>
      <c r="C9" s="7">
        <v>4000</v>
      </c>
      <c r="D9" s="7">
        <v>419.88</v>
      </c>
      <c r="E9" s="8">
        <f t="shared" si="0"/>
        <v>2519.2799999999997</v>
      </c>
      <c r="F9" s="8">
        <f t="shared" si="1"/>
        <v>419.88</v>
      </c>
      <c r="G9" s="9">
        <f t="shared" si="5"/>
        <v>2939.16</v>
      </c>
      <c r="H9" s="37">
        <v>3354.4</v>
      </c>
      <c r="I9" s="10">
        <v>0</v>
      </c>
      <c r="J9" s="10"/>
      <c r="K9" s="121"/>
      <c r="L9" s="19"/>
      <c r="M9" s="22">
        <f t="shared" si="6"/>
        <v>645.59999999999991</v>
      </c>
      <c r="N9" s="14">
        <f t="shared" si="2"/>
        <v>4000</v>
      </c>
      <c r="O9" s="30" t="s">
        <v>49</v>
      </c>
      <c r="P9" s="33">
        <f t="shared" si="3"/>
        <v>64.559999999999988</v>
      </c>
      <c r="Q9" s="33">
        <f t="shared" si="4"/>
        <v>69.724799999999988</v>
      </c>
    </row>
    <row r="10" spans="1:17" x14ac:dyDescent="0.25">
      <c r="A10" s="5">
        <v>109</v>
      </c>
      <c r="B10" s="17" t="s">
        <v>20</v>
      </c>
      <c r="C10" s="7">
        <v>7000</v>
      </c>
      <c r="D10" s="7">
        <v>419.88</v>
      </c>
      <c r="E10" s="8">
        <f t="shared" si="0"/>
        <v>2519.2799999999997</v>
      </c>
      <c r="F10" s="8">
        <f t="shared" si="1"/>
        <v>419.88</v>
      </c>
      <c r="G10" s="9">
        <f t="shared" si="5"/>
        <v>2939.16</v>
      </c>
      <c r="H10" s="37">
        <v>3354.4</v>
      </c>
      <c r="I10" s="10">
        <v>0</v>
      </c>
      <c r="J10" s="10">
        <v>70</v>
      </c>
      <c r="K10" s="119"/>
      <c r="L10" s="12"/>
      <c r="M10" s="13">
        <f t="shared" si="6"/>
        <v>3575.6</v>
      </c>
      <c r="N10" s="14">
        <f t="shared" si="2"/>
        <v>6930</v>
      </c>
      <c r="O10" s="30" t="s">
        <v>118</v>
      </c>
      <c r="P10" s="33">
        <f t="shared" si="3"/>
        <v>357.56</v>
      </c>
      <c r="Q10" s="33">
        <f t="shared" si="4"/>
        <v>386.16480000000001</v>
      </c>
    </row>
    <row r="11" spans="1:17" x14ac:dyDescent="0.25">
      <c r="A11" s="5">
        <v>114</v>
      </c>
      <c r="B11" s="17" t="s">
        <v>21</v>
      </c>
      <c r="C11" s="7">
        <v>5000</v>
      </c>
      <c r="D11" s="7">
        <v>419.88</v>
      </c>
      <c r="E11" s="8">
        <f t="shared" si="0"/>
        <v>2519.2799999999997</v>
      </c>
      <c r="F11" s="8">
        <f t="shared" si="1"/>
        <v>419.88</v>
      </c>
      <c r="G11" s="9">
        <f t="shared" si="5"/>
        <v>2939.16</v>
      </c>
      <c r="H11" s="37">
        <v>3354.4</v>
      </c>
      <c r="I11" s="10">
        <v>0</v>
      </c>
      <c r="J11" s="10">
        <v>35</v>
      </c>
      <c r="K11" s="119"/>
      <c r="L11" s="12"/>
      <c r="M11" s="13">
        <f t="shared" si="6"/>
        <v>1610.6</v>
      </c>
      <c r="N11" s="14">
        <f t="shared" si="2"/>
        <v>4965</v>
      </c>
      <c r="O11" s="30">
        <v>0.03</v>
      </c>
      <c r="P11" s="33">
        <f t="shared" si="3"/>
        <v>161.06</v>
      </c>
      <c r="Q11" s="33">
        <f t="shared" si="4"/>
        <v>173.94480000000001</v>
      </c>
    </row>
    <row r="12" spans="1:17" ht="15" customHeight="1" x14ac:dyDescent="0.25">
      <c r="A12" s="5">
        <v>131</v>
      </c>
      <c r="B12" s="17" t="s">
        <v>22</v>
      </c>
      <c r="C12" s="7">
        <v>3500</v>
      </c>
      <c r="D12" s="7">
        <v>419.88</v>
      </c>
      <c r="E12" s="8">
        <f t="shared" si="0"/>
        <v>2519.2799999999997</v>
      </c>
      <c r="F12" s="8">
        <f t="shared" si="1"/>
        <v>419.88</v>
      </c>
      <c r="G12" s="9">
        <f t="shared" si="5"/>
        <v>2939.16</v>
      </c>
      <c r="H12" s="37">
        <v>3354.2</v>
      </c>
      <c r="I12" s="10">
        <v>0</v>
      </c>
      <c r="J12" s="10">
        <v>140</v>
      </c>
      <c r="K12" s="120"/>
      <c r="L12" s="19"/>
      <c r="M12" s="13">
        <f>C12-H12-I12+L12-K12-J12</f>
        <v>5.8000000000001819</v>
      </c>
      <c r="N12" s="14">
        <f t="shared" si="2"/>
        <v>3360</v>
      </c>
      <c r="O12" s="30">
        <v>0.03</v>
      </c>
      <c r="P12" s="33">
        <f t="shared" si="3"/>
        <v>0.58000000000001817</v>
      </c>
      <c r="Q12" s="33">
        <f t="shared" si="4"/>
        <v>0.62640000000001961</v>
      </c>
    </row>
    <row r="13" spans="1:17" x14ac:dyDescent="0.25">
      <c r="A13" s="36">
        <v>149</v>
      </c>
      <c r="B13" s="6" t="s">
        <v>23</v>
      </c>
      <c r="C13" s="7">
        <v>4000</v>
      </c>
      <c r="D13" s="7">
        <v>419.88</v>
      </c>
      <c r="E13" s="8">
        <f t="shared" si="0"/>
        <v>2519.2799999999997</v>
      </c>
      <c r="F13" s="8">
        <f t="shared" si="1"/>
        <v>419.88</v>
      </c>
      <c r="G13" s="9">
        <f t="shared" si="5"/>
        <v>2939.16</v>
      </c>
      <c r="H13" s="37">
        <v>2879</v>
      </c>
      <c r="I13" s="10">
        <v>0</v>
      </c>
      <c r="J13" s="10">
        <v>105</v>
      </c>
      <c r="K13" s="120">
        <v>587.84</v>
      </c>
      <c r="L13" s="19"/>
      <c r="M13" s="22">
        <f>C13-H13-I13+L13-K13-J13</f>
        <v>428.15999999999997</v>
      </c>
      <c r="N13" s="14">
        <f t="shared" si="2"/>
        <v>3307.16</v>
      </c>
      <c r="O13" s="36" t="s">
        <v>50</v>
      </c>
      <c r="P13" s="33">
        <f t="shared" si="3"/>
        <v>42.816000000000003</v>
      </c>
      <c r="Q13" s="33">
        <f t="shared" si="4"/>
        <v>46.241280000000003</v>
      </c>
    </row>
    <row r="14" spans="1:17" x14ac:dyDescent="0.25">
      <c r="A14" s="5">
        <v>150</v>
      </c>
      <c r="B14" s="6" t="s">
        <v>24</v>
      </c>
      <c r="C14" s="7">
        <v>5000</v>
      </c>
      <c r="D14" s="7">
        <v>419.88</v>
      </c>
      <c r="E14" s="8">
        <f t="shared" si="0"/>
        <v>2519.2799999999997</v>
      </c>
      <c r="F14" s="8">
        <f t="shared" si="1"/>
        <v>419.88</v>
      </c>
      <c r="G14" s="9">
        <f t="shared" si="5"/>
        <v>2939.16</v>
      </c>
      <c r="H14" s="37">
        <v>3354.4</v>
      </c>
      <c r="I14" s="10">
        <v>0</v>
      </c>
      <c r="J14" s="10"/>
      <c r="K14" s="120"/>
      <c r="L14" s="19"/>
      <c r="M14" s="13">
        <f t="shared" si="6"/>
        <v>1645.6</v>
      </c>
      <c r="N14" s="14">
        <f t="shared" si="2"/>
        <v>5000</v>
      </c>
      <c r="O14" s="30" t="s">
        <v>47</v>
      </c>
      <c r="P14" s="33">
        <f t="shared" si="3"/>
        <v>164.56</v>
      </c>
      <c r="Q14" s="33">
        <f t="shared" si="4"/>
        <v>177.72480000000002</v>
      </c>
    </row>
    <row r="15" spans="1:17" x14ac:dyDescent="0.25">
      <c r="A15" s="5">
        <v>752</v>
      </c>
      <c r="B15" s="6" t="s">
        <v>25</v>
      </c>
      <c r="C15" s="7">
        <v>4500</v>
      </c>
      <c r="D15" s="7">
        <v>419.88</v>
      </c>
      <c r="E15" s="8">
        <f t="shared" si="0"/>
        <v>2519.2799999999997</v>
      </c>
      <c r="F15" s="8">
        <f t="shared" si="1"/>
        <v>419.88</v>
      </c>
      <c r="G15" s="9">
        <f t="shared" si="5"/>
        <v>2939.16</v>
      </c>
      <c r="H15" s="37">
        <v>3509</v>
      </c>
      <c r="I15" s="10">
        <v>375</v>
      </c>
      <c r="J15" s="10"/>
      <c r="K15" s="120">
        <v>587.84</v>
      </c>
      <c r="L15" s="12">
        <v>964.29</v>
      </c>
      <c r="M15" s="13">
        <f>C15-H15-I15+L15-K15-J15</f>
        <v>992.44999999999993</v>
      </c>
      <c r="N15" s="14">
        <f t="shared" si="2"/>
        <v>4501.45</v>
      </c>
      <c r="O15" s="29">
        <v>0.03</v>
      </c>
      <c r="P15" s="33">
        <f t="shared" si="3"/>
        <v>99.245000000000005</v>
      </c>
      <c r="Q15" s="33">
        <f t="shared" si="4"/>
        <v>107.18460000000002</v>
      </c>
    </row>
    <row r="16" spans="1:17" s="55" customFormat="1" x14ac:dyDescent="0.25">
      <c r="A16" s="5">
        <v>162</v>
      </c>
      <c r="B16" s="6" t="s">
        <v>27</v>
      </c>
      <c r="C16" s="7">
        <v>4500</v>
      </c>
      <c r="D16" s="7">
        <v>419.88</v>
      </c>
      <c r="E16" s="8">
        <f t="shared" si="0"/>
        <v>2519.2799999999997</v>
      </c>
      <c r="F16" s="8">
        <f t="shared" si="1"/>
        <v>419.88</v>
      </c>
      <c r="G16" s="9">
        <f t="shared" si="5"/>
        <v>2939.16</v>
      </c>
      <c r="H16" s="37">
        <v>3120.4</v>
      </c>
      <c r="I16" s="10">
        <v>0</v>
      </c>
      <c r="J16" s="10"/>
      <c r="K16" s="120">
        <v>293.92</v>
      </c>
      <c r="L16" s="19"/>
      <c r="M16" s="13">
        <f t="shared" si="6"/>
        <v>1085.6799999999998</v>
      </c>
      <c r="N16" s="14">
        <f t="shared" si="2"/>
        <v>4206.08</v>
      </c>
      <c r="O16" s="29">
        <v>0.03</v>
      </c>
      <c r="P16" s="33">
        <f t="shared" si="3"/>
        <v>108.56799999999998</v>
      </c>
      <c r="Q16" s="33">
        <f t="shared" si="4"/>
        <v>117.25343999999998</v>
      </c>
    </row>
    <row r="17" spans="1:17" s="55" customFormat="1" x14ac:dyDescent="0.25">
      <c r="A17" s="5">
        <v>174</v>
      </c>
      <c r="B17" s="6" t="s">
        <v>28</v>
      </c>
      <c r="C17" s="7">
        <v>10000</v>
      </c>
      <c r="D17" s="7">
        <v>419.88</v>
      </c>
      <c r="E17" s="8">
        <f t="shared" si="0"/>
        <v>2519.2799999999997</v>
      </c>
      <c r="F17" s="8">
        <f t="shared" si="1"/>
        <v>419.88</v>
      </c>
      <c r="G17" s="9">
        <f t="shared" si="5"/>
        <v>2939.16</v>
      </c>
      <c r="H17" s="37">
        <v>2361</v>
      </c>
      <c r="I17" s="10">
        <v>0</v>
      </c>
      <c r="J17" s="10"/>
      <c r="K17" s="123">
        <v>908.03</v>
      </c>
      <c r="L17" s="12"/>
      <c r="M17" s="13">
        <f t="shared" si="6"/>
        <v>6730.97</v>
      </c>
      <c r="N17" s="14">
        <f t="shared" si="2"/>
        <v>9091.9700000000012</v>
      </c>
      <c r="O17" s="29" t="s">
        <v>50</v>
      </c>
      <c r="P17" s="33">
        <f t="shared" si="3"/>
        <v>673.09700000000009</v>
      </c>
      <c r="Q17" s="33">
        <f t="shared" si="4"/>
        <v>726.9447600000002</v>
      </c>
    </row>
    <row r="18" spans="1:17" s="55" customFormat="1" x14ac:dyDescent="0.25">
      <c r="A18" s="5">
        <v>184</v>
      </c>
      <c r="B18" s="6" t="s">
        <v>29</v>
      </c>
      <c r="C18" s="7">
        <v>8000</v>
      </c>
      <c r="D18" s="7">
        <v>419.88</v>
      </c>
      <c r="E18" s="8">
        <f t="shared" si="0"/>
        <v>2519.2799999999997</v>
      </c>
      <c r="F18" s="8">
        <f t="shared" si="1"/>
        <v>419.88</v>
      </c>
      <c r="G18" s="9">
        <f t="shared" si="5"/>
        <v>2939.16</v>
      </c>
      <c r="H18" s="37">
        <v>3354.4</v>
      </c>
      <c r="I18" s="10">
        <v>300</v>
      </c>
      <c r="J18" s="10">
        <v>140</v>
      </c>
      <c r="K18" s="120"/>
      <c r="L18" s="19"/>
      <c r="M18" s="13">
        <f t="shared" si="6"/>
        <v>4205.6000000000004</v>
      </c>
      <c r="N18" s="14">
        <f t="shared" si="2"/>
        <v>7560</v>
      </c>
      <c r="O18" s="29">
        <v>0.03</v>
      </c>
      <c r="P18" s="33">
        <f t="shared" si="3"/>
        <v>420.56000000000006</v>
      </c>
      <c r="Q18" s="33">
        <f t="shared" si="4"/>
        <v>454.20480000000009</v>
      </c>
    </row>
    <row r="19" spans="1:17" s="55" customFormat="1" ht="13.5" customHeight="1" x14ac:dyDescent="0.25">
      <c r="A19" s="5">
        <v>204</v>
      </c>
      <c r="B19" s="6" t="s">
        <v>33</v>
      </c>
      <c r="C19" s="7">
        <v>5000</v>
      </c>
      <c r="D19" s="7">
        <v>419.88</v>
      </c>
      <c r="E19" s="8">
        <f t="shared" si="0"/>
        <v>2519.2799999999997</v>
      </c>
      <c r="F19" s="8">
        <f t="shared" si="1"/>
        <v>419.88</v>
      </c>
      <c r="G19" s="9">
        <f t="shared" si="5"/>
        <v>2939.16</v>
      </c>
      <c r="H19" s="37">
        <v>3354.4</v>
      </c>
      <c r="I19" s="10">
        <v>300</v>
      </c>
      <c r="J19" s="10">
        <v>35</v>
      </c>
      <c r="K19" s="119"/>
      <c r="L19" s="19"/>
      <c r="M19" s="13">
        <f t="shared" si="6"/>
        <v>1310.5999999999999</v>
      </c>
      <c r="N19" s="14">
        <f t="shared" si="2"/>
        <v>4665</v>
      </c>
      <c r="O19" s="29" t="s">
        <v>118</v>
      </c>
      <c r="P19" s="33">
        <f t="shared" si="3"/>
        <v>131.06</v>
      </c>
      <c r="Q19" s="33">
        <f t="shared" si="4"/>
        <v>141.54480000000001</v>
      </c>
    </row>
    <row r="20" spans="1:17" s="55" customFormat="1" x14ac:dyDescent="0.25">
      <c r="A20" s="5">
        <v>213</v>
      </c>
      <c r="B20" s="6" t="s">
        <v>34</v>
      </c>
      <c r="C20" s="7">
        <v>4000</v>
      </c>
      <c r="D20" s="7">
        <v>419.88</v>
      </c>
      <c r="E20" s="8">
        <f t="shared" si="0"/>
        <v>2519.2799999999997</v>
      </c>
      <c r="F20" s="8">
        <f t="shared" si="1"/>
        <v>419.88</v>
      </c>
      <c r="G20" s="9">
        <f t="shared" si="5"/>
        <v>2939.16</v>
      </c>
      <c r="H20" s="37">
        <v>3354.2</v>
      </c>
      <c r="I20" s="10">
        <v>0</v>
      </c>
      <c r="J20" s="10"/>
      <c r="K20" s="119"/>
      <c r="L20" s="12"/>
      <c r="M20" s="13">
        <f t="shared" si="6"/>
        <v>645.80000000000018</v>
      </c>
      <c r="N20" s="14">
        <f t="shared" si="2"/>
        <v>4000</v>
      </c>
      <c r="O20" s="29" t="s">
        <v>50</v>
      </c>
      <c r="P20" s="33">
        <f t="shared" si="3"/>
        <v>64.580000000000027</v>
      </c>
      <c r="Q20" s="33">
        <f t="shared" si="4"/>
        <v>69.746400000000037</v>
      </c>
    </row>
    <row r="21" spans="1:17" s="55" customFormat="1" x14ac:dyDescent="0.25">
      <c r="A21" s="5">
        <v>215</v>
      </c>
      <c r="B21" s="6" t="s">
        <v>35</v>
      </c>
      <c r="C21" s="7">
        <v>5000</v>
      </c>
      <c r="D21" s="7">
        <v>419.88</v>
      </c>
      <c r="E21" s="8">
        <f t="shared" si="0"/>
        <v>2519.2799999999997</v>
      </c>
      <c r="F21" s="8">
        <f t="shared" si="1"/>
        <v>419.88</v>
      </c>
      <c r="G21" s="9">
        <f t="shared" si="5"/>
        <v>2939.16</v>
      </c>
      <c r="H21" s="37">
        <v>3354.2</v>
      </c>
      <c r="I21" s="10">
        <v>225</v>
      </c>
      <c r="J21" s="10"/>
      <c r="K21" s="120"/>
      <c r="L21" s="19"/>
      <c r="M21" s="13">
        <f t="shared" si="6"/>
        <v>1420.8000000000002</v>
      </c>
      <c r="N21" s="14">
        <f t="shared" si="2"/>
        <v>4775</v>
      </c>
      <c r="O21" s="29" t="s">
        <v>118</v>
      </c>
      <c r="P21" s="33">
        <f t="shared" si="3"/>
        <v>142.08000000000001</v>
      </c>
      <c r="Q21" s="33">
        <f t="shared" si="4"/>
        <v>153.44640000000001</v>
      </c>
    </row>
    <row r="22" spans="1:17" s="55" customFormat="1" x14ac:dyDescent="0.25">
      <c r="A22" s="5">
        <v>218</v>
      </c>
      <c r="B22" s="6" t="s">
        <v>36</v>
      </c>
      <c r="C22" s="7">
        <v>3500</v>
      </c>
      <c r="D22" s="7">
        <v>419.88</v>
      </c>
      <c r="E22" s="8">
        <f t="shared" si="0"/>
        <v>2519.2799999999997</v>
      </c>
      <c r="F22" s="8">
        <f t="shared" si="1"/>
        <v>419.88</v>
      </c>
      <c r="G22" s="9">
        <f t="shared" si="5"/>
        <v>2939.16</v>
      </c>
      <c r="H22" s="37">
        <v>3354.2</v>
      </c>
      <c r="I22" s="10">
        <v>0</v>
      </c>
      <c r="J22" s="10"/>
      <c r="K22" s="122"/>
      <c r="L22" s="12"/>
      <c r="M22" s="13">
        <f t="shared" si="6"/>
        <v>145.80000000000018</v>
      </c>
      <c r="N22" s="14">
        <f t="shared" si="2"/>
        <v>3500</v>
      </c>
      <c r="O22" s="29" t="s">
        <v>49</v>
      </c>
      <c r="P22" s="33">
        <f t="shared" si="3"/>
        <v>14.58000000000002</v>
      </c>
      <c r="Q22" s="33">
        <f t="shared" si="4"/>
        <v>15.746400000000023</v>
      </c>
    </row>
    <row r="23" spans="1:17" s="55" customFormat="1" x14ac:dyDescent="0.25">
      <c r="A23" s="36">
        <v>220</v>
      </c>
      <c r="B23" s="6" t="s">
        <v>37</v>
      </c>
      <c r="C23" s="7">
        <v>4000</v>
      </c>
      <c r="D23" s="7">
        <v>419.88</v>
      </c>
      <c r="E23" s="8">
        <f t="shared" si="0"/>
        <v>2519.2799999999997</v>
      </c>
      <c r="F23" s="8">
        <f t="shared" si="1"/>
        <v>419.88</v>
      </c>
      <c r="G23" s="9">
        <f t="shared" si="5"/>
        <v>2939.16</v>
      </c>
      <c r="H23" s="37">
        <v>2743.8</v>
      </c>
      <c r="I23" s="10">
        <v>300</v>
      </c>
      <c r="J23" s="10">
        <v>140</v>
      </c>
      <c r="K23" s="123">
        <v>610.33000000000004</v>
      </c>
      <c r="L23" s="12"/>
      <c r="M23" s="22">
        <f>C23-H23-I23+L23-K23-J23</f>
        <v>205.86999999999978</v>
      </c>
      <c r="N23" s="14">
        <f t="shared" si="2"/>
        <v>2949.67</v>
      </c>
      <c r="O23" s="36">
        <v>0.03</v>
      </c>
      <c r="P23" s="33">
        <f t="shared" si="3"/>
        <v>20.586999999999978</v>
      </c>
      <c r="Q23" s="33">
        <f t="shared" si="4"/>
        <v>22.233959999999978</v>
      </c>
    </row>
    <row r="24" spans="1:17" s="55" customFormat="1" x14ac:dyDescent="0.25">
      <c r="A24" s="5">
        <v>221</v>
      </c>
      <c r="B24" s="6" t="s">
        <v>38</v>
      </c>
      <c r="C24" s="7">
        <v>5000</v>
      </c>
      <c r="D24" s="7">
        <v>419.88</v>
      </c>
      <c r="E24" s="8">
        <f t="shared" si="0"/>
        <v>2519.2799999999997</v>
      </c>
      <c r="F24" s="8">
        <f t="shared" si="1"/>
        <v>419.88</v>
      </c>
      <c r="G24" s="9">
        <f t="shared" si="5"/>
        <v>2939.16</v>
      </c>
      <c r="H24" s="37">
        <v>3354.4</v>
      </c>
      <c r="I24" s="10">
        <v>300</v>
      </c>
      <c r="J24" s="10"/>
      <c r="K24" s="120"/>
      <c r="L24" s="12"/>
      <c r="M24" s="13">
        <f t="shared" si="6"/>
        <v>1345.6</v>
      </c>
      <c r="N24" s="14">
        <f t="shared" si="2"/>
        <v>4700</v>
      </c>
      <c r="O24" s="29">
        <v>0.03</v>
      </c>
      <c r="P24" s="33">
        <f t="shared" si="3"/>
        <v>134.56</v>
      </c>
      <c r="Q24" s="33">
        <f t="shared" si="4"/>
        <v>145.32480000000001</v>
      </c>
    </row>
    <row r="25" spans="1:17" s="55" customFormat="1" x14ac:dyDescent="0.25">
      <c r="A25" s="5">
        <v>222</v>
      </c>
      <c r="B25" s="6" t="s">
        <v>39</v>
      </c>
      <c r="C25" s="7">
        <v>8000</v>
      </c>
      <c r="D25" s="7">
        <v>419.88</v>
      </c>
      <c r="E25" s="8">
        <f t="shared" si="0"/>
        <v>2519.2799999999997</v>
      </c>
      <c r="F25" s="8">
        <f t="shared" si="1"/>
        <v>419.88</v>
      </c>
      <c r="G25" s="9">
        <f t="shared" si="5"/>
        <v>2939.16</v>
      </c>
      <c r="H25" s="37">
        <v>2720.2</v>
      </c>
      <c r="I25" s="10">
        <v>225</v>
      </c>
      <c r="J25" s="10">
        <v>210</v>
      </c>
      <c r="K25" s="123">
        <f>1538.46</f>
        <v>1538.46</v>
      </c>
      <c r="L25" s="19">
        <v>285.70999999999998</v>
      </c>
      <c r="M25" s="13">
        <f t="shared" si="6"/>
        <v>3592.05</v>
      </c>
      <c r="N25" s="14">
        <f t="shared" si="2"/>
        <v>6312.25</v>
      </c>
      <c r="O25" s="29" t="s">
        <v>118</v>
      </c>
      <c r="P25" s="33">
        <f t="shared" si="3"/>
        <v>359.20500000000004</v>
      </c>
      <c r="Q25" s="33">
        <f t="shared" si="4"/>
        <v>387.94140000000004</v>
      </c>
    </row>
    <row r="26" spans="1:17" s="55" customFormat="1" x14ac:dyDescent="0.25">
      <c r="A26" s="5">
        <v>227</v>
      </c>
      <c r="B26" s="6" t="s">
        <v>41</v>
      </c>
      <c r="C26" s="7">
        <v>6000</v>
      </c>
      <c r="D26" s="7">
        <v>419.88</v>
      </c>
      <c r="E26" s="8">
        <f t="shared" si="0"/>
        <v>2519.2799999999997</v>
      </c>
      <c r="F26" s="8">
        <f t="shared" si="1"/>
        <v>419.88</v>
      </c>
      <c r="G26" s="9">
        <f t="shared" si="5"/>
        <v>2939.16</v>
      </c>
      <c r="H26" s="37">
        <v>3354.4</v>
      </c>
      <c r="I26" s="10">
        <v>150</v>
      </c>
      <c r="J26" s="10">
        <v>140</v>
      </c>
      <c r="K26" s="120"/>
      <c r="L26" s="12"/>
      <c r="M26" s="13">
        <f t="shared" si="6"/>
        <v>2355.6</v>
      </c>
      <c r="N26" s="14">
        <f t="shared" si="2"/>
        <v>5710</v>
      </c>
      <c r="O26" s="29" t="s">
        <v>118</v>
      </c>
      <c r="P26" s="33">
        <f t="shared" si="3"/>
        <v>235.56</v>
      </c>
      <c r="Q26" s="33">
        <f t="shared" si="4"/>
        <v>254.40480000000002</v>
      </c>
    </row>
    <row r="27" spans="1:17" s="55" customFormat="1" x14ac:dyDescent="0.25">
      <c r="A27" s="5">
        <v>233</v>
      </c>
      <c r="B27" s="6" t="s">
        <v>42</v>
      </c>
      <c r="C27" s="7">
        <v>6250</v>
      </c>
      <c r="D27" s="7">
        <v>419.88</v>
      </c>
      <c r="E27" s="8">
        <f t="shared" si="0"/>
        <v>2519.2799999999997</v>
      </c>
      <c r="F27" s="8">
        <f t="shared" si="1"/>
        <v>419.88</v>
      </c>
      <c r="G27" s="9">
        <f t="shared" si="5"/>
        <v>2939.16</v>
      </c>
      <c r="H27" s="37">
        <v>3354.2</v>
      </c>
      <c r="I27" s="10">
        <v>300</v>
      </c>
      <c r="J27" s="10">
        <v>35</v>
      </c>
      <c r="K27" s="120"/>
      <c r="L27" s="19"/>
      <c r="M27" s="13">
        <f t="shared" si="6"/>
        <v>2560.8000000000002</v>
      </c>
      <c r="N27" s="14">
        <f t="shared" si="2"/>
        <v>5915</v>
      </c>
      <c r="O27" s="31" t="s">
        <v>118</v>
      </c>
      <c r="P27" s="33">
        <f t="shared" si="3"/>
        <v>256.08000000000004</v>
      </c>
      <c r="Q27" s="33">
        <f t="shared" si="4"/>
        <v>276.56640000000004</v>
      </c>
    </row>
    <row r="28" spans="1:17" s="55" customFormat="1" x14ac:dyDescent="0.25">
      <c r="A28" s="5">
        <v>244</v>
      </c>
      <c r="B28" s="6" t="s">
        <v>44</v>
      </c>
      <c r="C28" s="7">
        <v>5000</v>
      </c>
      <c r="D28" s="7">
        <v>419.88</v>
      </c>
      <c r="E28" s="8">
        <f t="shared" si="0"/>
        <v>2519.2799999999997</v>
      </c>
      <c r="F28" s="8">
        <f t="shared" si="1"/>
        <v>419.88</v>
      </c>
      <c r="G28" s="9">
        <f t="shared" si="5"/>
        <v>2939.16</v>
      </c>
      <c r="H28" s="37">
        <v>2744</v>
      </c>
      <c r="I28" s="10">
        <v>0</v>
      </c>
      <c r="J28" s="10">
        <v>140</v>
      </c>
      <c r="K28" s="123">
        <v>610.33000000000004</v>
      </c>
      <c r="L28" s="12"/>
      <c r="M28" s="13">
        <f>C28-H28-I28+L28-K28-J28</f>
        <v>1505.67</v>
      </c>
      <c r="N28" s="14">
        <f t="shared" si="2"/>
        <v>4249.67</v>
      </c>
      <c r="O28" s="29">
        <v>0.03</v>
      </c>
      <c r="P28" s="33">
        <f t="shared" si="3"/>
        <v>150.56700000000001</v>
      </c>
      <c r="Q28" s="33">
        <f t="shared" si="4"/>
        <v>162.61236000000002</v>
      </c>
    </row>
    <row r="29" spans="1:17" s="55" customFormat="1" x14ac:dyDescent="0.25">
      <c r="A29" s="5">
        <v>245</v>
      </c>
      <c r="B29" s="6" t="s">
        <v>45</v>
      </c>
      <c r="C29" s="7">
        <v>5000</v>
      </c>
      <c r="D29" s="7">
        <v>419.88</v>
      </c>
      <c r="E29" s="8">
        <f t="shared" si="0"/>
        <v>2519.2799999999997</v>
      </c>
      <c r="F29" s="8">
        <f t="shared" si="1"/>
        <v>419.88</v>
      </c>
      <c r="G29" s="9">
        <f t="shared" si="5"/>
        <v>2939.16</v>
      </c>
      <c r="H29" s="37">
        <v>3354.2</v>
      </c>
      <c r="I29" s="10">
        <v>0</v>
      </c>
      <c r="J29" s="10"/>
      <c r="K29" s="119"/>
      <c r="L29" s="19"/>
      <c r="M29" s="13">
        <f t="shared" si="6"/>
        <v>1645.8000000000002</v>
      </c>
      <c r="N29" s="14">
        <f>H29+M29</f>
        <v>5000</v>
      </c>
      <c r="O29" s="34" t="s">
        <v>47</v>
      </c>
      <c r="P29" s="33">
        <f t="shared" si="3"/>
        <v>164.58000000000004</v>
      </c>
      <c r="Q29" s="33">
        <f t="shared" si="4"/>
        <v>177.74640000000005</v>
      </c>
    </row>
    <row r="30" spans="1:17" s="55" customFormat="1" x14ac:dyDescent="0.25">
      <c r="A30" s="5">
        <v>252</v>
      </c>
      <c r="B30" s="6" t="s">
        <v>53</v>
      </c>
      <c r="C30" s="7">
        <v>5000</v>
      </c>
      <c r="D30" s="7">
        <v>419.88</v>
      </c>
      <c r="E30" s="8">
        <f t="shared" si="0"/>
        <v>2519.2799999999997</v>
      </c>
      <c r="F30" s="8">
        <f t="shared" si="1"/>
        <v>419.88</v>
      </c>
      <c r="G30" s="9">
        <f t="shared" si="5"/>
        <v>2939.16</v>
      </c>
      <c r="H30" s="37">
        <v>3354.2</v>
      </c>
      <c r="I30" s="10">
        <v>150</v>
      </c>
      <c r="J30" s="10">
        <v>35</v>
      </c>
      <c r="K30" s="120"/>
      <c r="L30" s="12"/>
      <c r="M30" s="22">
        <f>C30-H30-I30+L30-K30-J30</f>
        <v>1460.8000000000002</v>
      </c>
      <c r="N30" s="14">
        <f t="shared" si="2"/>
        <v>4815</v>
      </c>
      <c r="O30" s="5">
        <v>0.03</v>
      </c>
      <c r="P30" s="33">
        <f t="shared" si="3"/>
        <v>146.08000000000001</v>
      </c>
      <c r="Q30" s="33">
        <f t="shared" si="4"/>
        <v>157.76640000000003</v>
      </c>
    </row>
    <row r="31" spans="1:17" s="55" customFormat="1" x14ac:dyDescent="0.25">
      <c r="A31" s="5">
        <v>260</v>
      </c>
      <c r="B31" s="6" t="s">
        <v>54</v>
      </c>
      <c r="C31" s="7">
        <v>5000</v>
      </c>
      <c r="D31" s="7">
        <v>419.88</v>
      </c>
      <c r="E31" s="8">
        <f t="shared" si="0"/>
        <v>2519.2799999999997</v>
      </c>
      <c r="F31" s="8">
        <f t="shared" si="1"/>
        <v>419.88</v>
      </c>
      <c r="G31" s="9">
        <f t="shared" si="5"/>
        <v>2939.16</v>
      </c>
      <c r="H31" s="37">
        <v>3354.2</v>
      </c>
      <c r="I31" s="10">
        <v>225</v>
      </c>
      <c r="J31" s="10">
        <v>105</v>
      </c>
      <c r="K31" s="119"/>
      <c r="L31" s="19"/>
      <c r="M31" s="13">
        <f t="shared" si="6"/>
        <v>1315.8000000000002</v>
      </c>
      <c r="N31" s="14">
        <f t="shared" si="2"/>
        <v>4670</v>
      </c>
      <c r="O31" s="5" t="s">
        <v>48</v>
      </c>
      <c r="P31" s="33">
        <f t="shared" si="3"/>
        <v>131.58000000000001</v>
      </c>
      <c r="Q31" s="33">
        <f t="shared" si="4"/>
        <v>142.10640000000004</v>
      </c>
    </row>
    <row r="32" spans="1:17" s="55" customFormat="1" x14ac:dyDescent="0.25">
      <c r="A32" s="5">
        <v>261</v>
      </c>
      <c r="B32" s="6" t="s">
        <v>55</v>
      </c>
      <c r="C32" s="7">
        <v>4000</v>
      </c>
      <c r="D32" s="7">
        <v>419.88</v>
      </c>
      <c r="E32" s="8">
        <f t="shared" si="0"/>
        <v>2519.2799999999997</v>
      </c>
      <c r="F32" s="8">
        <f t="shared" si="1"/>
        <v>419.88</v>
      </c>
      <c r="G32" s="9">
        <f t="shared" si="5"/>
        <v>2939.16</v>
      </c>
      <c r="H32" s="37">
        <v>2355.8000000000002</v>
      </c>
      <c r="I32" s="10">
        <v>0</v>
      </c>
      <c r="J32" s="10">
        <v>140</v>
      </c>
      <c r="K32" s="123">
        <v>913.35</v>
      </c>
      <c r="L32" s="19"/>
      <c r="M32" s="13">
        <f t="shared" si="6"/>
        <v>590.8499999999998</v>
      </c>
      <c r="N32" s="14">
        <f t="shared" si="2"/>
        <v>2946.65</v>
      </c>
      <c r="O32" s="5">
        <v>0.03</v>
      </c>
      <c r="P32" s="33">
        <f t="shared" si="3"/>
        <v>59.08499999999998</v>
      </c>
      <c r="Q32" s="33">
        <f t="shared" si="4"/>
        <v>63.811799999999984</v>
      </c>
    </row>
    <row r="33" spans="1:17" s="55" customFormat="1" x14ac:dyDescent="0.25">
      <c r="A33" s="5">
        <v>267</v>
      </c>
      <c r="B33" s="6" t="s">
        <v>56</v>
      </c>
      <c r="C33" s="7">
        <v>5000</v>
      </c>
      <c r="D33" s="7">
        <v>419.88</v>
      </c>
      <c r="E33" s="8">
        <f t="shared" si="0"/>
        <v>2519.2799999999997</v>
      </c>
      <c r="F33" s="8">
        <f t="shared" si="1"/>
        <v>419.88</v>
      </c>
      <c r="G33" s="9">
        <f t="shared" si="5"/>
        <v>2939.16</v>
      </c>
      <c r="H33" s="37">
        <v>2848.4</v>
      </c>
      <c r="I33" s="10">
        <v>225</v>
      </c>
      <c r="J33" s="10"/>
      <c r="K33" s="123">
        <f>435.88</f>
        <v>435.88</v>
      </c>
      <c r="L33" s="12"/>
      <c r="M33" s="13">
        <f t="shared" si="6"/>
        <v>1490.7199999999998</v>
      </c>
      <c r="N33" s="14">
        <f t="shared" si="2"/>
        <v>4339.12</v>
      </c>
      <c r="O33" s="5" t="s">
        <v>47</v>
      </c>
      <c r="P33" s="33">
        <f t="shared" si="3"/>
        <v>149.07199999999997</v>
      </c>
      <c r="Q33" s="33">
        <f t="shared" si="4"/>
        <v>160.99775999999997</v>
      </c>
    </row>
    <row r="34" spans="1:17" s="55" customFormat="1" x14ac:dyDescent="0.25">
      <c r="A34" s="5">
        <v>269</v>
      </c>
      <c r="B34" s="6" t="s">
        <v>58</v>
      </c>
      <c r="C34" s="7">
        <v>7000</v>
      </c>
      <c r="D34" s="7">
        <v>419.88</v>
      </c>
      <c r="E34" s="8">
        <f t="shared" si="0"/>
        <v>2519.2799999999997</v>
      </c>
      <c r="F34" s="8">
        <f t="shared" si="1"/>
        <v>419.88</v>
      </c>
      <c r="G34" s="9">
        <f t="shared" si="5"/>
        <v>2939.16</v>
      </c>
      <c r="H34" s="37">
        <v>2879</v>
      </c>
      <c r="I34" s="10">
        <v>0</v>
      </c>
      <c r="J34" s="10"/>
      <c r="K34" s="120">
        <v>587.84</v>
      </c>
      <c r="L34" s="19"/>
      <c r="M34" s="13">
        <f t="shared" si="6"/>
        <v>3533.16</v>
      </c>
      <c r="N34" s="14">
        <f>H34+M34</f>
        <v>6412.16</v>
      </c>
      <c r="O34" s="5" t="s">
        <v>118</v>
      </c>
      <c r="P34" s="33">
        <f t="shared" si="3"/>
        <v>353.31600000000003</v>
      </c>
      <c r="Q34" s="33">
        <f t="shared" si="4"/>
        <v>381.58128000000005</v>
      </c>
    </row>
    <row r="35" spans="1:17" s="55" customFormat="1" x14ac:dyDescent="0.25">
      <c r="A35" s="5">
        <v>271</v>
      </c>
      <c r="B35" s="6" t="s">
        <v>59</v>
      </c>
      <c r="C35" s="7">
        <v>4000</v>
      </c>
      <c r="D35" s="7">
        <v>419.88</v>
      </c>
      <c r="E35" s="8">
        <f t="shared" si="0"/>
        <v>2519.2799999999997</v>
      </c>
      <c r="F35" s="8">
        <f t="shared" si="1"/>
        <v>419.88</v>
      </c>
      <c r="G35" s="9">
        <f t="shared" si="5"/>
        <v>2939.16</v>
      </c>
      <c r="H35" s="37">
        <v>3354.2</v>
      </c>
      <c r="I35" s="10">
        <v>225</v>
      </c>
      <c r="J35" s="10">
        <v>140</v>
      </c>
      <c r="K35" s="120"/>
      <c r="L35" s="19"/>
      <c r="M35" s="22">
        <f t="shared" si="6"/>
        <v>280.80000000000018</v>
      </c>
      <c r="N35" s="14">
        <f t="shared" si="2"/>
        <v>3635</v>
      </c>
      <c r="O35" s="5">
        <v>0.03</v>
      </c>
      <c r="P35" s="33">
        <f t="shared" si="3"/>
        <v>28.08000000000002</v>
      </c>
      <c r="Q35" s="33">
        <f t="shared" si="4"/>
        <v>30.326400000000024</v>
      </c>
    </row>
    <row r="36" spans="1:17" s="55" customFormat="1" x14ac:dyDescent="0.25">
      <c r="A36" s="5">
        <v>275</v>
      </c>
      <c r="B36" s="6" t="s">
        <v>60</v>
      </c>
      <c r="C36" s="7">
        <v>3375</v>
      </c>
      <c r="D36" s="7">
        <v>419.88</v>
      </c>
      <c r="E36" s="8">
        <f t="shared" si="0"/>
        <v>2519.2799999999997</v>
      </c>
      <c r="F36" s="8">
        <f t="shared" si="1"/>
        <v>419.88</v>
      </c>
      <c r="G36" s="9">
        <f t="shared" si="5"/>
        <v>2939.16</v>
      </c>
      <c r="H36" s="37">
        <v>3081.2</v>
      </c>
      <c r="I36" s="10">
        <v>0</v>
      </c>
      <c r="J36" s="10"/>
      <c r="K36" s="120">
        <v>293.92</v>
      </c>
      <c r="L36" s="19"/>
      <c r="M36" s="13">
        <f>C36-H36-I36+L36-K36-J36+0.12</f>
        <v>1.659783421814609E-13</v>
      </c>
      <c r="N36" s="14">
        <f>H36+M36</f>
        <v>3081.2</v>
      </c>
      <c r="O36" s="5">
        <v>0.03</v>
      </c>
      <c r="P36" s="33">
        <f>+M36*0.1</f>
        <v>1.659783421814609E-14</v>
      </c>
      <c r="Q36" s="33">
        <f>+P36*1.08</f>
        <v>1.7925660955597778E-14</v>
      </c>
    </row>
    <row r="37" spans="1:17" s="55" customFormat="1" x14ac:dyDescent="0.25">
      <c r="A37" s="5">
        <v>276</v>
      </c>
      <c r="B37" s="6" t="s">
        <v>61</v>
      </c>
      <c r="C37" s="7">
        <v>5000</v>
      </c>
      <c r="D37" s="7">
        <v>419.88</v>
      </c>
      <c r="E37" s="8">
        <f t="shared" si="0"/>
        <v>2519.2799999999997</v>
      </c>
      <c r="F37" s="8">
        <f t="shared" si="1"/>
        <v>419.88</v>
      </c>
      <c r="G37" s="9">
        <f t="shared" si="5"/>
        <v>2939.16</v>
      </c>
      <c r="H37" s="37">
        <v>3354.2</v>
      </c>
      <c r="I37" s="10">
        <v>300</v>
      </c>
      <c r="J37" s="10">
        <v>140</v>
      </c>
      <c r="K37" s="119"/>
      <c r="L37" s="19"/>
      <c r="M37" s="13">
        <f t="shared" si="6"/>
        <v>1205.8000000000002</v>
      </c>
      <c r="N37" s="14">
        <f t="shared" si="2"/>
        <v>4560</v>
      </c>
      <c r="O37" s="5">
        <v>0.03</v>
      </c>
      <c r="P37" s="33">
        <f t="shared" si="3"/>
        <v>120.58000000000003</v>
      </c>
      <c r="Q37" s="33">
        <f t="shared" si="4"/>
        <v>130.22640000000004</v>
      </c>
    </row>
    <row r="38" spans="1:17" s="55" customFormat="1" x14ac:dyDescent="0.25">
      <c r="A38" s="5">
        <v>279</v>
      </c>
      <c r="B38" s="6" t="s">
        <v>63</v>
      </c>
      <c r="C38" s="7">
        <v>4500</v>
      </c>
      <c r="D38" s="7">
        <v>419.88</v>
      </c>
      <c r="E38" s="8">
        <f t="shared" si="0"/>
        <v>2519.2799999999997</v>
      </c>
      <c r="F38" s="8">
        <f t="shared" si="1"/>
        <v>419.88</v>
      </c>
      <c r="G38" s="9">
        <f t="shared" si="5"/>
        <v>2939.16</v>
      </c>
      <c r="H38" s="37">
        <v>3354.4</v>
      </c>
      <c r="I38" s="10">
        <v>0</v>
      </c>
      <c r="J38" s="10">
        <v>35</v>
      </c>
      <c r="K38" s="120"/>
      <c r="L38" s="19"/>
      <c r="M38" s="22">
        <f t="shared" si="6"/>
        <v>1110.5999999999999</v>
      </c>
      <c r="N38" s="14">
        <f t="shared" si="2"/>
        <v>4465</v>
      </c>
      <c r="O38" s="5" t="s">
        <v>118</v>
      </c>
      <c r="P38" s="33">
        <f t="shared" si="3"/>
        <v>111.06</v>
      </c>
      <c r="Q38" s="33">
        <f t="shared" si="4"/>
        <v>119.94480000000001</v>
      </c>
    </row>
    <row r="39" spans="1:17" s="55" customFormat="1" x14ac:dyDescent="0.25">
      <c r="A39" s="5">
        <v>280</v>
      </c>
      <c r="B39" s="6" t="s">
        <v>64</v>
      </c>
      <c r="C39" s="7">
        <v>5000</v>
      </c>
      <c r="D39" s="7">
        <v>419.88</v>
      </c>
      <c r="E39" s="8">
        <f t="shared" si="0"/>
        <v>2519.2799999999997</v>
      </c>
      <c r="F39" s="8">
        <f t="shared" si="1"/>
        <v>419.88</v>
      </c>
      <c r="G39" s="9">
        <f t="shared" si="5"/>
        <v>2939.16</v>
      </c>
      <c r="H39" s="37">
        <v>3354.4</v>
      </c>
      <c r="I39" s="10">
        <v>0</v>
      </c>
      <c r="J39" s="10"/>
      <c r="K39" s="119"/>
      <c r="L39" s="19"/>
      <c r="M39" s="13">
        <f t="shared" si="6"/>
        <v>1645.6</v>
      </c>
      <c r="N39" s="14">
        <f t="shared" si="2"/>
        <v>5000</v>
      </c>
      <c r="O39" s="5" t="s">
        <v>119</v>
      </c>
      <c r="P39" s="33">
        <f t="shared" si="3"/>
        <v>164.56</v>
      </c>
      <c r="Q39" s="33">
        <f t="shared" si="4"/>
        <v>177.72480000000002</v>
      </c>
    </row>
    <row r="40" spans="1:17" s="55" customFormat="1" x14ac:dyDescent="0.25">
      <c r="A40" s="5">
        <v>281</v>
      </c>
      <c r="B40" s="6" t="s">
        <v>65</v>
      </c>
      <c r="C40" s="7">
        <v>8750</v>
      </c>
      <c r="D40" s="7">
        <v>419.88</v>
      </c>
      <c r="E40" s="8">
        <f t="shared" si="0"/>
        <v>2519.2799999999997</v>
      </c>
      <c r="F40" s="8">
        <f t="shared" si="1"/>
        <v>419.88</v>
      </c>
      <c r="G40" s="9">
        <f t="shared" si="5"/>
        <v>2939.16</v>
      </c>
      <c r="H40" s="37">
        <v>3354.2</v>
      </c>
      <c r="I40" s="10">
        <v>0</v>
      </c>
      <c r="J40" s="10"/>
      <c r="K40" s="119"/>
      <c r="L40" s="19"/>
      <c r="M40" s="13">
        <f t="shared" si="6"/>
        <v>5395.8</v>
      </c>
      <c r="N40" s="14">
        <f t="shared" si="2"/>
        <v>8750</v>
      </c>
      <c r="O40" s="5">
        <v>0.03</v>
      </c>
      <c r="P40" s="33">
        <f t="shared" si="3"/>
        <v>539.58000000000004</v>
      </c>
      <c r="Q40" s="33">
        <f t="shared" si="4"/>
        <v>582.74640000000011</v>
      </c>
    </row>
    <row r="41" spans="1:17" s="55" customFormat="1" x14ac:dyDescent="0.25">
      <c r="A41" s="5">
        <v>283</v>
      </c>
      <c r="B41" s="6" t="s">
        <v>66</v>
      </c>
      <c r="C41" s="7">
        <v>5000</v>
      </c>
      <c r="D41" s="7">
        <v>419.88</v>
      </c>
      <c r="E41" s="8">
        <f t="shared" si="0"/>
        <v>2519.2799999999997</v>
      </c>
      <c r="F41" s="8">
        <f t="shared" si="1"/>
        <v>419.88</v>
      </c>
      <c r="G41" s="9">
        <f t="shared" si="5"/>
        <v>2939.16</v>
      </c>
      <c r="H41" s="37">
        <v>3354.2</v>
      </c>
      <c r="I41" s="10">
        <v>0</v>
      </c>
      <c r="J41" s="10">
        <v>70</v>
      </c>
      <c r="K41" s="120"/>
      <c r="L41" s="12"/>
      <c r="M41" s="13">
        <f t="shared" si="6"/>
        <v>1575.8000000000002</v>
      </c>
      <c r="N41" s="14">
        <f t="shared" si="2"/>
        <v>4930</v>
      </c>
      <c r="O41" s="5">
        <v>0.03</v>
      </c>
      <c r="P41" s="33">
        <f t="shared" si="3"/>
        <v>157.58000000000004</v>
      </c>
      <c r="Q41" s="33">
        <f t="shared" si="4"/>
        <v>170.18640000000005</v>
      </c>
    </row>
    <row r="42" spans="1:17" s="55" customFormat="1" x14ac:dyDescent="0.25">
      <c r="A42" s="5">
        <v>284</v>
      </c>
      <c r="B42" s="6" t="s">
        <v>67</v>
      </c>
      <c r="C42" s="7">
        <v>4000</v>
      </c>
      <c r="D42" s="7">
        <v>419.88</v>
      </c>
      <c r="E42" s="8">
        <f t="shared" si="0"/>
        <v>2519.2799999999997</v>
      </c>
      <c r="F42" s="8">
        <f t="shared" si="1"/>
        <v>419.88</v>
      </c>
      <c r="G42" s="9">
        <f t="shared" si="5"/>
        <v>2939.16</v>
      </c>
      <c r="H42" s="37">
        <v>3354.4</v>
      </c>
      <c r="I42" s="10">
        <v>150</v>
      </c>
      <c r="J42" s="10">
        <v>70</v>
      </c>
      <c r="K42" s="119"/>
      <c r="L42" s="19"/>
      <c r="M42" s="13">
        <f t="shared" si="6"/>
        <v>425.59999999999991</v>
      </c>
      <c r="N42" s="14">
        <f t="shared" si="2"/>
        <v>3780</v>
      </c>
      <c r="O42" s="5" t="s">
        <v>48</v>
      </c>
      <c r="P42" s="33">
        <f t="shared" si="3"/>
        <v>42.559999999999995</v>
      </c>
      <c r="Q42" s="33">
        <f t="shared" si="4"/>
        <v>45.964799999999997</v>
      </c>
    </row>
    <row r="43" spans="1:17" s="55" customFormat="1" x14ac:dyDescent="0.25">
      <c r="A43" s="5">
        <v>285</v>
      </c>
      <c r="B43" s="6" t="s">
        <v>68</v>
      </c>
      <c r="C43" s="7">
        <v>4000</v>
      </c>
      <c r="D43" s="7">
        <v>419.88</v>
      </c>
      <c r="E43" s="8">
        <f t="shared" si="0"/>
        <v>2519.2799999999997</v>
      </c>
      <c r="F43" s="8">
        <f t="shared" si="1"/>
        <v>419.88</v>
      </c>
      <c r="G43" s="9">
        <f t="shared" si="5"/>
        <v>2939.16</v>
      </c>
      <c r="H43" s="37">
        <v>2879</v>
      </c>
      <c r="I43" s="10">
        <v>75</v>
      </c>
      <c r="J43" s="10">
        <v>70</v>
      </c>
      <c r="K43" s="120">
        <v>666.67</v>
      </c>
      <c r="L43" s="19"/>
      <c r="M43" s="13">
        <f>C43-H43-I43+L43-K43-J43</f>
        <v>309.33000000000004</v>
      </c>
      <c r="N43" s="14">
        <f t="shared" si="2"/>
        <v>3188.33</v>
      </c>
      <c r="O43" s="5" t="s">
        <v>48</v>
      </c>
      <c r="P43" s="33">
        <f t="shared" si="3"/>
        <v>30.933000000000007</v>
      </c>
      <c r="Q43" s="33">
        <f t="shared" si="4"/>
        <v>33.407640000000008</v>
      </c>
    </row>
    <row r="44" spans="1:17" s="55" customFormat="1" x14ac:dyDescent="0.25">
      <c r="A44" s="5">
        <v>286</v>
      </c>
      <c r="B44" s="6" t="s">
        <v>69</v>
      </c>
      <c r="C44" s="7">
        <v>4000</v>
      </c>
      <c r="D44" s="7">
        <v>419.88</v>
      </c>
      <c r="E44" s="8">
        <f t="shared" si="0"/>
        <v>2519.2799999999997</v>
      </c>
      <c r="F44" s="8">
        <f t="shared" si="1"/>
        <v>419.88</v>
      </c>
      <c r="G44" s="9">
        <f t="shared" si="5"/>
        <v>2939.16</v>
      </c>
      <c r="H44" s="37">
        <v>3354.4</v>
      </c>
      <c r="I44" s="10">
        <v>300</v>
      </c>
      <c r="J44" s="10"/>
      <c r="K44" s="119"/>
      <c r="L44" s="19"/>
      <c r="M44" s="13">
        <f t="shared" si="6"/>
        <v>345.59999999999991</v>
      </c>
      <c r="N44" s="14">
        <f t="shared" si="2"/>
        <v>3700</v>
      </c>
      <c r="O44" s="5" t="s">
        <v>118</v>
      </c>
      <c r="P44" s="33">
        <f t="shared" si="3"/>
        <v>34.559999999999995</v>
      </c>
      <c r="Q44" s="33">
        <f t="shared" si="4"/>
        <v>37.324799999999996</v>
      </c>
    </row>
    <row r="45" spans="1:17" s="55" customFormat="1" x14ac:dyDescent="0.25">
      <c r="A45" s="5">
        <v>287</v>
      </c>
      <c r="B45" s="6" t="s">
        <v>72</v>
      </c>
      <c r="C45" s="7">
        <v>5000</v>
      </c>
      <c r="D45" s="7">
        <v>419.88</v>
      </c>
      <c r="E45" s="8">
        <f t="shared" si="0"/>
        <v>2519.2799999999997</v>
      </c>
      <c r="F45" s="8">
        <f t="shared" si="1"/>
        <v>419.88</v>
      </c>
      <c r="G45" s="9">
        <f t="shared" si="5"/>
        <v>2939.16</v>
      </c>
      <c r="H45" s="37">
        <v>3120.2</v>
      </c>
      <c r="I45" s="10">
        <v>300</v>
      </c>
      <c r="J45" s="10">
        <v>105</v>
      </c>
      <c r="K45" s="120">
        <v>293.92</v>
      </c>
      <c r="L45" s="19"/>
      <c r="M45" s="13">
        <f>C45-H45-I45+L45-K45-J45</f>
        <v>1180.8800000000001</v>
      </c>
      <c r="N45" s="14">
        <f t="shared" si="2"/>
        <v>4301.08</v>
      </c>
      <c r="O45" s="5" t="s">
        <v>118</v>
      </c>
      <c r="P45" s="33">
        <f t="shared" si="3"/>
        <v>118.08800000000002</v>
      </c>
      <c r="Q45" s="33">
        <f t="shared" si="4"/>
        <v>127.53504000000004</v>
      </c>
    </row>
    <row r="46" spans="1:17" s="55" customFormat="1" x14ac:dyDescent="0.25">
      <c r="A46" s="5">
        <v>288</v>
      </c>
      <c r="B46" s="6" t="s">
        <v>73</v>
      </c>
      <c r="C46" s="7">
        <v>3500</v>
      </c>
      <c r="D46" s="7">
        <v>419.88</v>
      </c>
      <c r="E46" s="8">
        <f t="shared" si="0"/>
        <v>2519.2799999999997</v>
      </c>
      <c r="F46" s="8">
        <f t="shared" si="1"/>
        <v>419.88</v>
      </c>
      <c r="G46" s="9">
        <f t="shared" si="5"/>
        <v>2939.16</v>
      </c>
      <c r="H46" s="37">
        <v>3354.2</v>
      </c>
      <c r="I46" s="10">
        <v>0</v>
      </c>
      <c r="J46" s="10"/>
      <c r="K46" s="119"/>
      <c r="L46" s="19"/>
      <c r="M46" s="13">
        <f>C46-H46-I46+L46-K46-J46</f>
        <v>145.80000000000018</v>
      </c>
      <c r="N46" s="14">
        <f t="shared" si="2"/>
        <v>3500</v>
      </c>
      <c r="O46" s="5">
        <v>0.03</v>
      </c>
      <c r="P46" s="33">
        <f t="shared" si="3"/>
        <v>14.58000000000002</v>
      </c>
      <c r="Q46" s="33">
        <f t="shared" si="4"/>
        <v>15.746400000000023</v>
      </c>
    </row>
    <row r="47" spans="1:17" x14ac:dyDescent="0.25">
      <c r="A47" s="5">
        <v>289</v>
      </c>
      <c r="B47" s="6" t="s">
        <v>74</v>
      </c>
      <c r="C47" s="7">
        <v>3500</v>
      </c>
      <c r="D47" s="7">
        <v>419.88</v>
      </c>
      <c r="E47" s="8">
        <f t="shared" si="0"/>
        <v>2519.2799999999997</v>
      </c>
      <c r="F47" s="8">
        <f t="shared" si="1"/>
        <v>419.88</v>
      </c>
      <c r="G47" s="9">
        <f t="shared" si="5"/>
        <v>2939.16</v>
      </c>
      <c r="H47" s="37">
        <v>3354.2</v>
      </c>
      <c r="I47" s="10">
        <v>0</v>
      </c>
      <c r="J47" s="10"/>
      <c r="K47" s="119"/>
      <c r="L47" s="19"/>
      <c r="M47" s="13">
        <f t="shared" si="6"/>
        <v>145.80000000000018</v>
      </c>
      <c r="N47" s="14">
        <f t="shared" si="2"/>
        <v>3500</v>
      </c>
      <c r="O47" s="5">
        <v>0.03</v>
      </c>
      <c r="P47" s="33">
        <f t="shared" si="3"/>
        <v>14.58000000000002</v>
      </c>
      <c r="Q47" s="33">
        <f t="shared" si="4"/>
        <v>15.746400000000023</v>
      </c>
    </row>
    <row r="48" spans="1:17" x14ac:dyDescent="0.25">
      <c r="A48" s="5">
        <v>291</v>
      </c>
      <c r="B48" s="6" t="s">
        <v>78</v>
      </c>
      <c r="C48" s="7">
        <v>4250</v>
      </c>
      <c r="D48" s="7">
        <v>419.88</v>
      </c>
      <c r="E48" s="8">
        <f t="shared" si="0"/>
        <v>2519.2799999999997</v>
      </c>
      <c r="F48" s="8">
        <f t="shared" si="1"/>
        <v>419.88</v>
      </c>
      <c r="G48" s="9">
        <f t="shared" si="5"/>
        <v>2939.16</v>
      </c>
      <c r="H48" s="37">
        <v>3354.2</v>
      </c>
      <c r="I48" s="10">
        <v>0</v>
      </c>
      <c r="J48" s="10">
        <v>35</v>
      </c>
      <c r="K48" s="119"/>
      <c r="L48" s="19"/>
      <c r="M48" s="13">
        <f t="shared" si="6"/>
        <v>860.80000000000018</v>
      </c>
      <c r="N48" s="14">
        <f t="shared" si="2"/>
        <v>4215</v>
      </c>
      <c r="O48" s="5">
        <v>0.03</v>
      </c>
      <c r="P48" s="33">
        <f t="shared" si="3"/>
        <v>86.080000000000027</v>
      </c>
      <c r="Q48" s="33">
        <f t="shared" si="4"/>
        <v>92.966400000000036</v>
      </c>
    </row>
    <row r="49" spans="1:17" x14ac:dyDescent="0.25">
      <c r="A49" s="5">
        <v>293</v>
      </c>
      <c r="B49" s="6" t="s">
        <v>89</v>
      </c>
      <c r="C49" s="7">
        <v>4000</v>
      </c>
      <c r="D49" s="7">
        <v>419.88</v>
      </c>
      <c r="E49" s="8">
        <f t="shared" si="0"/>
        <v>2519.2799999999997</v>
      </c>
      <c r="F49" s="8">
        <f t="shared" si="1"/>
        <v>419.88</v>
      </c>
      <c r="G49" s="9">
        <f t="shared" si="5"/>
        <v>2939.16</v>
      </c>
      <c r="H49" s="37">
        <v>3354.2</v>
      </c>
      <c r="I49" s="10">
        <v>0</v>
      </c>
      <c r="J49" s="10">
        <v>175</v>
      </c>
      <c r="K49" s="119"/>
      <c r="L49" s="12"/>
      <c r="M49" s="13">
        <f t="shared" si="6"/>
        <v>470.80000000000018</v>
      </c>
      <c r="N49" s="14">
        <f t="shared" si="2"/>
        <v>3825</v>
      </c>
      <c r="O49" s="5">
        <v>0.03</v>
      </c>
      <c r="P49" s="33">
        <f t="shared" si="3"/>
        <v>47.08000000000002</v>
      </c>
      <c r="Q49" s="33">
        <f t="shared" si="4"/>
        <v>50.846400000000024</v>
      </c>
    </row>
    <row r="50" spans="1:17" x14ac:dyDescent="0.25">
      <c r="A50" s="5">
        <v>294</v>
      </c>
      <c r="B50" s="6" t="s">
        <v>91</v>
      </c>
      <c r="C50" s="7">
        <v>4000</v>
      </c>
      <c r="D50" s="7">
        <v>419.88</v>
      </c>
      <c r="E50" s="8">
        <f t="shared" si="0"/>
        <v>2519.2799999999997</v>
      </c>
      <c r="F50" s="8">
        <f t="shared" si="1"/>
        <v>419.88</v>
      </c>
      <c r="G50" s="9">
        <f t="shared" si="5"/>
        <v>2939.16</v>
      </c>
      <c r="H50" s="37">
        <v>3354.2</v>
      </c>
      <c r="I50" s="10">
        <v>300</v>
      </c>
      <c r="J50" s="10">
        <v>140</v>
      </c>
      <c r="K50" s="120"/>
      <c r="L50" s="12"/>
      <c r="M50" s="13">
        <f t="shared" si="6"/>
        <v>205.80000000000018</v>
      </c>
      <c r="N50" s="14">
        <f t="shared" si="2"/>
        <v>3560</v>
      </c>
      <c r="O50" s="5">
        <v>0.03</v>
      </c>
      <c r="P50" s="33">
        <f t="shared" si="3"/>
        <v>20.58000000000002</v>
      </c>
      <c r="Q50" s="33">
        <f t="shared" si="4"/>
        <v>22.226400000000023</v>
      </c>
    </row>
    <row r="51" spans="1:17" x14ac:dyDescent="0.25">
      <c r="A51" s="42">
        <v>295</v>
      </c>
      <c r="B51" s="43" t="s">
        <v>104</v>
      </c>
      <c r="C51" s="44">
        <v>5500</v>
      </c>
      <c r="D51" s="44">
        <v>419.88</v>
      </c>
      <c r="E51" s="45">
        <f t="shared" si="0"/>
        <v>2519.2799999999997</v>
      </c>
      <c r="F51" s="45">
        <f t="shared" si="1"/>
        <v>419.88</v>
      </c>
      <c r="G51" s="46">
        <f t="shared" si="5"/>
        <v>2939.16</v>
      </c>
      <c r="H51" s="47">
        <v>12399.4</v>
      </c>
      <c r="I51" s="48"/>
      <c r="J51" s="48"/>
      <c r="K51" s="126"/>
      <c r="L51" s="50"/>
      <c r="M51" s="51"/>
      <c r="N51" s="52">
        <f t="shared" si="2"/>
        <v>12399.4</v>
      </c>
      <c r="O51" s="42" t="s">
        <v>118</v>
      </c>
      <c r="P51" s="54">
        <f t="shared" si="3"/>
        <v>0</v>
      </c>
      <c r="Q51" s="54">
        <f t="shared" si="4"/>
        <v>0</v>
      </c>
    </row>
    <row r="52" spans="1:17" x14ac:dyDescent="0.25">
      <c r="A52" s="5">
        <v>298</v>
      </c>
      <c r="B52" s="6" t="s">
        <v>115</v>
      </c>
      <c r="C52" s="7">
        <v>5000</v>
      </c>
      <c r="D52" s="7">
        <v>419.88</v>
      </c>
      <c r="E52" s="8">
        <f t="shared" si="0"/>
        <v>2519.2799999999997</v>
      </c>
      <c r="F52" s="8">
        <f t="shared" si="1"/>
        <v>419.88</v>
      </c>
      <c r="G52" s="9">
        <f t="shared" si="5"/>
        <v>2939.16</v>
      </c>
      <c r="H52" s="37">
        <v>1339.6</v>
      </c>
      <c r="I52" s="10">
        <v>0</v>
      </c>
      <c r="J52" s="10">
        <v>140</v>
      </c>
      <c r="K52" s="123">
        <f>1461.5+833.33</f>
        <v>2294.83</v>
      </c>
      <c r="L52" s="12"/>
      <c r="M52" s="22">
        <f t="shared" si="6"/>
        <v>1225.5700000000002</v>
      </c>
      <c r="N52" s="14">
        <f t="shared" si="2"/>
        <v>2565.17</v>
      </c>
      <c r="O52" s="5">
        <v>0.03</v>
      </c>
      <c r="P52" s="33">
        <f t="shared" si="3"/>
        <v>122.55700000000002</v>
      </c>
      <c r="Q52" s="33">
        <f t="shared" si="4"/>
        <v>132.36156000000003</v>
      </c>
    </row>
    <row r="53" spans="1:17" s="55" customFormat="1" x14ac:dyDescent="0.25">
      <c r="A53" s="5">
        <v>300</v>
      </c>
      <c r="B53" s="6" t="s">
        <v>121</v>
      </c>
      <c r="C53" s="7">
        <v>6250</v>
      </c>
      <c r="D53" s="7">
        <v>419.88</v>
      </c>
      <c r="E53" s="8">
        <f t="shared" si="0"/>
        <v>2519.2799999999997</v>
      </c>
      <c r="F53" s="8">
        <f t="shared" si="1"/>
        <v>419.88</v>
      </c>
      <c r="G53" s="9">
        <f t="shared" si="5"/>
        <v>2939.16</v>
      </c>
      <c r="H53" s="37">
        <v>3354.4</v>
      </c>
      <c r="I53" s="10">
        <v>0</v>
      </c>
      <c r="J53" s="10"/>
      <c r="K53" s="119"/>
      <c r="L53" s="12"/>
      <c r="M53" s="22">
        <f t="shared" si="6"/>
        <v>2895.6</v>
      </c>
      <c r="N53" s="14">
        <f t="shared" si="2"/>
        <v>6250</v>
      </c>
      <c r="O53" s="5">
        <v>0.03</v>
      </c>
      <c r="P53" s="33">
        <f t="shared" si="3"/>
        <v>289.56</v>
      </c>
      <c r="Q53" s="33">
        <f t="shared" si="4"/>
        <v>312.72480000000002</v>
      </c>
    </row>
    <row r="54" spans="1:17" s="55" customFormat="1" x14ac:dyDescent="0.25">
      <c r="A54" s="5">
        <v>301</v>
      </c>
      <c r="B54" s="6" t="s">
        <v>124</v>
      </c>
      <c r="C54" s="7">
        <v>5000</v>
      </c>
      <c r="D54" s="7">
        <v>419.88</v>
      </c>
      <c r="E54" s="8">
        <f t="shared" si="0"/>
        <v>2519.2799999999997</v>
      </c>
      <c r="F54" s="8">
        <f t="shared" si="1"/>
        <v>419.88</v>
      </c>
      <c r="G54" s="9">
        <f t="shared" si="5"/>
        <v>2939.16</v>
      </c>
      <c r="H54" s="37">
        <v>3354.2</v>
      </c>
      <c r="I54" s="10">
        <v>0</v>
      </c>
      <c r="J54" s="10"/>
      <c r="K54" s="119"/>
      <c r="L54" s="12"/>
      <c r="M54" s="22">
        <f t="shared" si="6"/>
        <v>1645.8000000000002</v>
      </c>
      <c r="N54" s="14">
        <f t="shared" si="2"/>
        <v>5000</v>
      </c>
      <c r="O54" s="5">
        <v>0.03</v>
      </c>
      <c r="P54" s="33">
        <f t="shared" si="3"/>
        <v>164.58000000000004</v>
      </c>
      <c r="Q54" s="33">
        <f t="shared" si="4"/>
        <v>177.74640000000005</v>
      </c>
    </row>
    <row r="55" spans="1:17" s="55" customFormat="1" x14ac:dyDescent="0.25">
      <c r="A55" s="5">
        <v>302</v>
      </c>
      <c r="B55" s="6" t="s">
        <v>128</v>
      </c>
      <c r="C55" s="7">
        <v>5000</v>
      </c>
      <c r="D55" s="7">
        <v>419.88</v>
      </c>
      <c r="E55" s="8">
        <f t="shared" si="0"/>
        <v>2519.2799999999997</v>
      </c>
      <c r="F55" s="8">
        <f t="shared" si="1"/>
        <v>419.88</v>
      </c>
      <c r="G55" s="9">
        <f t="shared" si="5"/>
        <v>2939.16</v>
      </c>
      <c r="H55" s="37">
        <v>0</v>
      </c>
      <c r="I55" s="10">
        <v>0</v>
      </c>
      <c r="J55" s="10">
        <v>35</v>
      </c>
      <c r="K55" s="119">
        <v>4811.49</v>
      </c>
      <c r="L55" s="12"/>
      <c r="M55" s="22">
        <f t="shared" si="6"/>
        <v>153.51000000000022</v>
      </c>
      <c r="N55" s="14">
        <f t="shared" si="2"/>
        <v>153.51000000000022</v>
      </c>
      <c r="O55" s="5">
        <v>0.03</v>
      </c>
      <c r="P55" s="33">
        <f t="shared" si="3"/>
        <v>15.351000000000022</v>
      </c>
      <c r="Q55" s="33">
        <f t="shared" si="4"/>
        <v>16.579080000000026</v>
      </c>
    </row>
    <row r="56" spans="1:17" s="55" customFormat="1" x14ac:dyDescent="0.25">
      <c r="A56" s="5">
        <v>303</v>
      </c>
      <c r="B56" s="6" t="s">
        <v>129</v>
      </c>
      <c r="C56" s="7">
        <v>4000</v>
      </c>
      <c r="D56" s="7">
        <v>419.88</v>
      </c>
      <c r="E56" s="8">
        <f t="shared" si="0"/>
        <v>2519.2799999999997</v>
      </c>
      <c r="F56" s="8">
        <f t="shared" si="1"/>
        <v>419.88</v>
      </c>
      <c r="G56" s="9">
        <f t="shared" si="5"/>
        <v>2939.16</v>
      </c>
      <c r="H56" s="37">
        <v>3354.4</v>
      </c>
      <c r="I56" s="10">
        <v>75</v>
      </c>
      <c r="J56" s="10"/>
      <c r="K56" s="119"/>
      <c r="L56" s="12"/>
      <c r="M56" s="22">
        <f>C56-H56-I56+L56-K56-J56</f>
        <v>570.59999999999991</v>
      </c>
      <c r="N56" s="14">
        <f t="shared" si="2"/>
        <v>3925</v>
      </c>
      <c r="O56" s="5">
        <v>0.03</v>
      </c>
      <c r="P56" s="33">
        <f t="shared" si="3"/>
        <v>57.059999999999995</v>
      </c>
      <c r="Q56" s="33">
        <f t="shared" si="4"/>
        <v>61.6248</v>
      </c>
    </row>
    <row r="57" spans="1:17" s="55" customFormat="1" x14ac:dyDescent="0.25">
      <c r="A57" s="5">
        <v>304</v>
      </c>
      <c r="B57" s="6" t="s">
        <v>131</v>
      </c>
      <c r="C57" s="7">
        <v>4500</v>
      </c>
      <c r="D57" s="7">
        <v>419.88</v>
      </c>
      <c r="E57" s="8">
        <f t="shared" si="0"/>
        <v>2519.2799999999997</v>
      </c>
      <c r="F57" s="8">
        <f t="shared" si="1"/>
        <v>419.88</v>
      </c>
      <c r="G57" s="9">
        <f t="shared" si="5"/>
        <v>2939.16</v>
      </c>
      <c r="H57" s="37">
        <v>3354.2</v>
      </c>
      <c r="I57" s="10">
        <v>0</v>
      </c>
      <c r="J57" s="10">
        <v>105</v>
      </c>
      <c r="K57" s="119"/>
      <c r="L57" s="12"/>
      <c r="M57" s="22">
        <f>C57-H57-I57+L57-K57-J57</f>
        <v>1040.8000000000002</v>
      </c>
      <c r="N57" s="14">
        <f t="shared" si="2"/>
        <v>4395</v>
      </c>
      <c r="O57" s="5">
        <v>0.03</v>
      </c>
      <c r="P57" s="33">
        <f t="shared" si="3"/>
        <v>104.08000000000003</v>
      </c>
      <c r="Q57" s="33">
        <f t="shared" si="4"/>
        <v>112.40640000000003</v>
      </c>
    </row>
    <row r="58" spans="1:17" s="55" customFormat="1" x14ac:dyDescent="0.25">
      <c r="A58" s="5">
        <v>306</v>
      </c>
      <c r="B58" s="6" t="s">
        <v>136</v>
      </c>
      <c r="C58" s="7">
        <v>4000</v>
      </c>
      <c r="D58" s="7">
        <v>419.88</v>
      </c>
      <c r="E58" s="8">
        <f t="shared" si="0"/>
        <v>2519.2799999999997</v>
      </c>
      <c r="F58" s="8">
        <f t="shared" si="1"/>
        <v>419.88</v>
      </c>
      <c r="G58" s="9">
        <f t="shared" si="5"/>
        <v>2939.16</v>
      </c>
      <c r="H58" s="115">
        <v>3354.4</v>
      </c>
      <c r="I58" s="10">
        <v>300</v>
      </c>
      <c r="J58" s="10">
        <v>70</v>
      </c>
      <c r="K58" s="119"/>
      <c r="L58" s="12"/>
      <c r="M58" s="22">
        <f>C58-H58-I58+L58-K58-J58</f>
        <v>275.59999999999991</v>
      </c>
      <c r="N58" s="14">
        <f t="shared" si="2"/>
        <v>3630</v>
      </c>
      <c r="O58" s="5">
        <v>0.03</v>
      </c>
      <c r="P58" s="33">
        <f t="shared" si="3"/>
        <v>27.559999999999992</v>
      </c>
      <c r="Q58" s="33">
        <f t="shared" si="4"/>
        <v>29.764799999999994</v>
      </c>
    </row>
    <row r="59" spans="1:17" s="55" customFormat="1" x14ac:dyDescent="0.25">
      <c r="A59" s="5">
        <v>307</v>
      </c>
      <c r="B59" s="6" t="s">
        <v>140</v>
      </c>
      <c r="C59" s="7">
        <v>4000</v>
      </c>
      <c r="D59" s="7">
        <v>419.88</v>
      </c>
      <c r="E59" s="8">
        <f t="shared" si="0"/>
        <v>2519.2799999999997</v>
      </c>
      <c r="F59" s="8">
        <f t="shared" si="1"/>
        <v>419.88</v>
      </c>
      <c r="G59" s="9">
        <f t="shared" si="5"/>
        <v>2939.16</v>
      </c>
      <c r="H59" s="115">
        <v>3354.4</v>
      </c>
      <c r="I59" s="10">
        <v>300</v>
      </c>
      <c r="J59" s="10">
        <v>140</v>
      </c>
      <c r="K59" s="119"/>
      <c r="L59" s="12"/>
      <c r="M59" s="22">
        <f t="shared" ref="M59:M65" si="7">C59-H59-I59+L59-K59-J59</f>
        <v>205.59999999999991</v>
      </c>
      <c r="N59" s="14">
        <f t="shared" si="2"/>
        <v>3560</v>
      </c>
      <c r="O59" s="5">
        <v>0.03</v>
      </c>
      <c r="P59" s="33">
        <f t="shared" si="3"/>
        <v>20.559999999999992</v>
      </c>
      <c r="Q59" s="33">
        <f t="shared" si="4"/>
        <v>22.204799999999992</v>
      </c>
    </row>
    <row r="60" spans="1:17" s="55" customFormat="1" x14ac:dyDescent="0.25">
      <c r="A60" s="5">
        <v>308</v>
      </c>
      <c r="B60" s="6" t="s">
        <v>138</v>
      </c>
      <c r="C60" s="7">
        <v>2700</v>
      </c>
      <c r="D60" s="7">
        <v>420.88</v>
      </c>
      <c r="E60" s="8">
        <f t="shared" si="0"/>
        <v>2525.2799999999997</v>
      </c>
      <c r="F60" s="8">
        <f t="shared" si="1"/>
        <v>420.88</v>
      </c>
      <c r="G60" s="9">
        <f t="shared" si="5"/>
        <v>2946.16</v>
      </c>
      <c r="H60" s="115">
        <v>2560</v>
      </c>
      <c r="I60" s="10">
        <v>0</v>
      </c>
      <c r="J60" s="10">
        <v>140</v>
      </c>
      <c r="K60" s="119"/>
      <c r="L60" s="12"/>
      <c r="M60" s="22">
        <f t="shared" si="7"/>
        <v>0</v>
      </c>
      <c r="N60" s="14">
        <f t="shared" si="2"/>
        <v>2560</v>
      </c>
      <c r="O60" s="5">
        <v>0.03</v>
      </c>
      <c r="P60" s="33">
        <f t="shared" si="3"/>
        <v>0</v>
      </c>
      <c r="Q60" s="33">
        <f t="shared" si="4"/>
        <v>0</v>
      </c>
    </row>
    <row r="61" spans="1:17" s="55" customFormat="1" x14ac:dyDescent="0.25">
      <c r="A61" s="5">
        <v>309</v>
      </c>
      <c r="B61" s="6" t="s">
        <v>143</v>
      </c>
      <c r="C61" s="7">
        <v>4000</v>
      </c>
      <c r="D61" s="7">
        <v>419.88</v>
      </c>
      <c r="E61" s="8">
        <f t="shared" si="0"/>
        <v>2519.2799999999997</v>
      </c>
      <c r="F61" s="8">
        <f t="shared" si="1"/>
        <v>419.88</v>
      </c>
      <c r="G61" s="9">
        <f t="shared" si="5"/>
        <v>2939.16</v>
      </c>
      <c r="H61" s="115">
        <v>3354.2</v>
      </c>
      <c r="I61" s="10">
        <v>0</v>
      </c>
      <c r="J61" s="10">
        <v>105</v>
      </c>
      <c r="K61" s="119"/>
      <c r="L61" s="12"/>
      <c r="M61" s="22">
        <f t="shared" si="7"/>
        <v>540.80000000000018</v>
      </c>
      <c r="N61" s="14">
        <f t="shared" si="2"/>
        <v>3895</v>
      </c>
      <c r="O61" s="5">
        <v>0.03</v>
      </c>
      <c r="P61" s="33">
        <f t="shared" si="3"/>
        <v>54.08000000000002</v>
      </c>
      <c r="Q61" s="33">
        <f t="shared" si="4"/>
        <v>58.406400000000026</v>
      </c>
    </row>
    <row r="62" spans="1:17" s="55" customFormat="1" x14ac:dyDescent="0.25">
      <c r="A62" s="5">
        <v>310</v>
      </c>
      <c r="B62" s="6" t="s">
        <v>147</v>
      </c>
      <c r="C62" s="7">
        <v>5000</v>
      </c>
      <c r="D62" s="7">
        <v>419.88</v>
      </c>
      <c r="E62" s="8">
        <f>D62*6</f>
        <v>2519.2799999999997</v>
      </c>
      <c r="F62" s="8">
        <f t="shared" si="1"/>
        <v>419.88</v>
      </c>
      <c r="G62" s="9">
        <f>E62+F62</f>
        <v>2939.16</v>
      </c>
      <c r="H62" s="115">
        <v>3354.4</v>
      </c>
      <c r="I62" s="10">
        <v>300</v>
      </c>
      <c r="J62" s="10">
        <v>140</v>
      </c>
      <c r="K62" s="119"/>
      <c r="L62" s="12"/>
      <c r="M62" s="22">
        <f t="shared" si="7"/>
        <v>1205.5999999999999</v>
      </c>
      <c r="N62" s="14">
        <f>H62+M62</f>
        <v>4560</v>
      </c>
      <c r="O62" s="5">
        <v>0.03</v>
      </c>
      <c r="P62" s="33">
        <f t="shared" si="3"/>
        <v>120.56</v>
      </c>
      <c r="Q62" s="33">
        <f t="shared" si="4"/>
        <v>130.20480000000001</v>
      </c>
    </row>
    <row r="63" spans="1:17" s="55" customFormat="1" x14ac:dyDescent="0.25">
      <c r="A63" s="5">
        <v>311</v>
      </c>
      <c r="B63" s="6" t="s">
        <v>149</v>
      </c>
      <c r="C63" s="7">
        <v>4000</v>
      </c>
      <c r="D63" s="7">
        <v>419.88</v>
      </c>
      <c r="E63" s="8">
        <f>D63*6</f>
        <v>2519.2799999999997</v>
      </c>
      <c r="F63" s="8">
        <f t="shared" si="1"/>
        <v>419.88</v>
      </c>
      <c r="G63" s="9">
        <f>E63+F63</f>
        <v>2939.16</v>
      </c>
      <c r="H63" s="115">
        <v>3354.2</v>
      </c>
      <c r="I63" s="10">
        <v>225</v>
      </c>
      <c r="J63" s="10"/>
      <c r="K63" s="119"/>
      <c r="L63" s="12"/>
      <c r="M63" s="22">
        <f t="shared" si="7"/>
        <v>420.80000000000018</v>
      </c>
      <c r="N63" s="14">
        <f>H63+M63</f>
        <v>3775</v>
      </c>
      <c r="O63" s="5">
        <v>0.03</v>
      </c>
      <c r="P63" s="33">
        <f>+M63*0.1</f>
        <v>42.08000000000002</v>
      </c>
      <c r="Q63" s="33">
        <f>+P63*1.08</f>
        <v>45.446400000000025</v>
      </c>
    </row>
    <row r="64" spans="1:17" s="55" customFormat="1" x14ac:dyDescent="0.25">
      <c r="A64" s="5">
        <v>312</v>
      </c>
      <c r="B64" s="6" t="s">
        <v>151</v>
      </c>
      <c r="C64" s="7">
        <v>4000</v>
      </c>
      <c r="D64" s="7">
        <v>419.88</v>
      </c>
      <c r="E64" s="8">
        <f>D64*6</f>
        <v>2519.2799999999997</v>
      </c>
      <c r="F64" s="8">
        <f t="shared" si="1"/>
        <v>419.88</v>
      </c>
      <c r="G64" s="9">
        <f>E64+F64</f>
        <v>2939.16</v>
      </c>
      <c r="H64" s="127">
        <v>2601.4</v>
      </c>
      <c r="I64" s="10"/>
      <c r="J64" s="10"/>
      <c r="K64" s="119">
        <v>1333.3333333333335</v>
      </c>
      <c r="L64" s="12"/>
      <c r="M64" s="22">
        <f>C64-H64-I64+L64-K64-J64</f>
        <v>65.266666666666424</v>
      </c>
      <c r="N64" s="14">
        <f>H64+M64</f>
        <v>2666.6666666666665</v>
      </c>
      <c r="O64" s="5">
        <v>0.03</v>
      </c>
      <c r="P64" s="33">
        <f>+M64*0.1</f>
        <v>6.5266666666666424</v>
      </c>
      <c r="Q64" s="33">
        <f>+P64*1.08</f>
        <v>7.0487999999999742</v>
      </c>
    </row>
    <row r="65" spans="1:17" s="55" customFormat="1" x14ac:dyDescent="0.25">
      <c r="A65" s="5">
        <v>313</v>
      </c>
      <c r="B65" s="6" t="s">
        <v>152</v>
      </c>
      <c r="C65" s="7">
        <v>3500</v>
      </c>
      <c r="D65" s="7">
        <v>419.88</v>
      </c>
      <c r="E65" s="8">
        <f>D65*6</f>
        <v>2519.2799999999997</v>
      </c>
      <c r="F65" s="8">
        <f t="shared" si="1"/>
        <v>419.88</v>
      </c>
      <c r="G65" s="9">
        <f>E65+F65</f>
        <v>2939.16</v>
      </c>
      <c r="H65" s="127">
        <v>1750</v>
      </c>
      <c r="I65" s="10"/>
      <c r="J65" s="10"/>
      <c r="K65" s="119">
        <v>1750</v>
      </c>
      <c r="L65" s="12"/>
      <c r="M65" s="22">
        <f t="shared" si="7"/>
        <v>0</v>
      </c>
      <c r="N65" s="14">
        <f>H65+M65</f>
        <v>1750</v>
      </c>
      <c r="O65" s="5">
        <v>0.03</v>
      </c>
      <c r="P65" s="33">
        <f>+M65*0.1</f>
        <v>0</v>
      </c>
      <c r="Q65" s="33">
        <f>+P65*1.08</f>
        <v>0</v>
      </c>
    </row>
    <row r="66" spans="1:17" s="55" customFormat="1" ht="16.149999999999999" customHeight="1" thickBot="1" x14ac:dyDescent="0.3">
      <c r="A66"/>
      <c r="B66"/>
      <c r="C66"/>
      <c r="D66"/>
      <c r="E66"/>
      <c r="F66"/>
      <c r="G66"/>
      <c r="H66" s="117"/>
      <c r="I66"/>
      <c r="J66"/>
      <c r="K66"/>
      <c r="L66"/>
      <c r="M66"/>
      <c r="N66"/>
      <c r="O66"/>
      <c r="P66"/>
      <c r="Q66"/>
    </row>
    <row r="67" spans="1:17" ht="18" thickBot="1" x14ac:dyDescent="0.35">
      <c r="A67" s="23"/>
      <c r="B67" s="24"/>
      <c r="C67" s="25">
        <f t="shared" ref="C67:N67" si="8">SUM(C4:C66)</f>
        <v>309075</v>
      </c>
      <c r="D67" s="25">
        <f t="shared" si="8"/>
        <v>26033.560000000009</v>
      </c>
      <c r="E67" s="25">
        <f t="shared" si="8"/>
        <v>156201.35999999996</v>
      </c>
      <c r="F67" s="25">
        <f t="shared" si="8"/>
        <v>26033.560000000009</v>
      </c>
      <c r="G67" s="25">
        <f t="shared" si="8"/>
        <v>182234.92000000016</v>
      </c>
      <c r="H67" s="118">
        <f t="shared" si="8"/>
        <v>202476.20000000004</v>
      </c>
      <c r="I67" s="26">
        <f t="shared" si="8"/>
        <v>6675</v>
      </c>
      <c r="J67" s="26">
        <f t="shared" si="8"/>
        <v>3850</v>
      </c>
      <c r="K67" s="26">
        <f t="shared" si="8"/>
        <v>19105.823333333334</v>
      </c>
      <c r="L67" s="27">
        <f t="shared" si="8"/>
        <v>2535.7142857142862</v>
      </c>
      <c r="M67" s="25">
        <f t="shared" si="8"/>
        <v>86403.21095238105</v>
      </c>
      <c r="N67" s="25">
        <f t="shared" si="8"/>
        <v>288879.41095238097</v>
      </c>
      <c r="P67" s="25">
        <f>SUM(P4:P66)</f>
        <v>8640.3210952380941</v>
      </c>
      <c r="Q67" s="25">
        <f>SUM(Q4:Q66)</f>
        <v>9331.5467828571436</v>
      </c>
    </row>
    <row r="68" spans="1:17" x14ac:dyDescent="0.25">
      <c r="I68" s="15">
        <f>I67/75</f>
        <v>89</v>
      </c>
      <c r="J68" s="15">
        <f>J67/35</f>
        <v>110</v>
      </c>
    </row>
    <row r="71" spans="1:17" x14ac:dyDescent="0.25">
      <c r="H71"/>
    </row>
  </sheetData>
  <autoFilter ref="A3:Q65" xr:uid="{00000000-0009-0000-0000-000019000000}"/>
  <mergeCells count="2">
    <mergeCell ref="A1:N1"/>
    <mergeCell ref="A2:N2"/>
  </mergeCells>
  <pageMargins left="0.25" right="0.25" top="0.75" bottom="0.75" header="0.3" footer="0.3"/>
  <pageSetup scale="62" fitToHeight="0" orientation="landscape" r:id="rId1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D24C1-965E-4014-BCA5-3CACF7BD87CD}">
  <sheetPr>
    <pageSetUpPr fitToPage="1"/>
  </sheetPr>
  <dimension ref="A1:Q72"/>
  <sheetViews>
    <sheetView showGridLines="0" topLeftCell="C1" zoomScaleNormal="100" workbookViewId="0">
      <selection activeCell="K5" sqref="K5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style="117" customWidth="1"/>
    <col min="9" max="14" width="11.42578125" customWidth="1"/>
    <col min="15" max="15" width="8" customWidth="1"/>
    <col min="16" max="17" width="11.42578125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153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116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6</v>
      </c>
      <c r="B4" s="6" t="s">
        <v>14</v>
      </c>
      <c r="C4" s="7">
        <v>4000</v>
      </c>
      <c r="D4" s="7">
        <v>419.88</v>
      </c>
      <c r="E4" s="8">
        <f t="shared" ref="E4:E66" si="0">D4*6</f>
        <v>2519.2799999999997</v>
      </c>
      <c r="F4" s="8">
        <f t="shared" ref="F4:F66" si="1">$D4</f>
        <v>419.88</v>
      </c>
      <c r="G4" s="9">
        <f>E4+F4</f>
        <v>2939.16</v>
      </c>
      <c r="H4" s="37">
        <v>3101.8</v>
      </c>
      <c r="I4" s="10"/>
      <c r="J4" s="10"/>
      <c r="K4" s="119"/>
      <c r="L4" s="19"/>
      <c r="M4" s="13">
        <f>C4-H4-I4+L4-K4-J4</f>
        <v>898.19999999999982</v>
      </c>
      <c r="N4" s="14">
        <f t="shared" ref="N4:N60" si="2">H4+M4</f>
        <v>4000</v>
      </c>
      <c r="O4" s="29" t="s">
        <v>47</v>
      </c>
      <c r="P4" s="33">
        <f t="shared" ref="P4:P62" si="3">+M4*0.1</f>
        <v>89.82</v>
      </c>
      <c r="Q4" s="33">
        <f t="shared" ref="Q4:Q66" si="4">+P4*1.08</f>
        <v>97.005600000000001</v>
      </c>
    </row>
    <row r="5" spans="1:17" x14ac:dyDescent="0.25">
      <c r="A5" s="36">
        <v>14</v>
      </c>
      <c r="B5" s="6" t="s">
        <v>15</v>
      </c>
      <c r="C5" s="7">
        <v>15000</v>
      </c>
      <c r="D5" s="7">
        <v>419.88</v>
      </c>
      <c r="E5" s="8">
        <f t="shared" si="0"/>
        <v>2519.2799999999997</v>
      </c>
      <c r="F5" s="8">
        <f t="shared" si="1"/>
        <v>419.88</v>
      </c>
      <c r="G5" s="9">
        <f t="shared" ref="G5:G66" si="5">E5+F5</f>
        <v>2939.16</v>
      </c>
      <c r="H5" s="37">
        <v>2177.4</v>
      </c>
      <c r="I5" s="10"/>
      <c r="J5" s="10"/>
      <c r="K5" s="120">
        <v>4285.7</v>
      </c>
      <c r="L5" s="19"/>
      <c r="M5" s="13">
        <f>C5-H5-I5+L5-K5-J5</f>
        <v>8536.9000000000015</v>
      </c>
      <c r="N5" s="14">
        <f>H5+M5</f>
        <v>10714.300000000001</v>
      </c>
      <c r="O5" s="30" t="s">
        <v>118</v>
      </c>
      <c r="P5" s="33">
        <f t="shared" si="3"/>
        <v>853.69000000000017</v>
      </c>
      <c r="Q5" s="33">
        <f t="shared" si="4"/>
        <v>921.98520000000019</v>
      </c>
    </row>
    <row r="6" spans="1:17" ht="15" customHeight="1" x14ac:dyDescent="0.25">
      <c r="A6" s="36">
        <v>24</v>
      </c>
      <c r="B6" s="6" t="s">
        <v>16</v>
      </c>
      <c r="C6" s="7">
        <v>5000</v>
      </c>
      <c r="D6" s="7">
        <v>419.88</v>
      </c>
      <c r="E6" s="8">
        <f t="shared" si="0"/>
        <v>2519.2799999999997</v>
      </c>
      <c r="F6" s="8">
        <f t="shared" si="1"/>
        <v>419.88</v>
      </c>
      <c r="G6" s="9">
        <f t="shared" si="5"/>
        <v>2939.16</v>
      </c>
      <c r="H6" s="37">
        <v>3102</v>
      </c>
      <c r="I6" s="10">
        <v>225</v>
      </c>
      <c r="J6" s="10">
        <v>105</v>
      </c>
      <c r="K6" s="120"/>
      <c r="L6" s="19"/>
      <c r="M6" s="13">
        <f t="shared" ref="M6:M54" si="6">C6-H6-I6+L6-K6-J6</f>
        <v>1568</v>
      </c>
      <c r="N6" s="14">
        <f t="shared" si="2"/>
        <v>4670</v>
      </c>
      <c r="O6" s="36" t="s">
        <v>118</v>
      </c>
      <c r="P6" s="33">
        <f t="shared" si="3"/>
        <v>156.80000000000001</v>
      </c>
      <c r="Q6" s="33">
        <f t="shared" si="4"/>
        <v>169.34400000000002</v>
      </c>
    </row>
    <row r="7" spans="1:17" x14ac:dyDescent="0.25">
      <c r="A7" s="36">
        <v>43</v>
      </c>
      <c r="B7" s="6" t="s">
        <v>17</v>
      </c>
      <c r="C7" s="7">
        <v>4500</v>
      </c>
      <c r="D7" s="7">
        <v>419.88</v>
      </c>
      <c r="E7" s="8">
        <f t="shared" si="0"/>
        <v>2519.2799999999997</v>
      </c>
      <c r="F7" s="8">
        <f t="shared" si="1"/>
        <v>419.88</v>
      </c>
      <c r="G7" s="9">
        <f t="shared" si="5"/>
        <v>2939.16</v>
      </c>
      <c r="H7" s="37">
        <v>3102</v>
      </c>
      <c r="I7" s="10">
        <v>375</v>
      </c>
      <c r="J7" s="10">
        <v>70</v>
      </c>
      <c r="K7" s="119"/>
      <c r="L7" s="12"/>
      <c r="M7" s="13">
        <f t="shared" si="6"/>
        <v>953</v>
      </c>
      <c r="N7" s="14">
        <f t="shared" si="2"/>
        <v>4055</v>
      </c>
      <c r="O7" s="30" t="s">
        <v>118</v>
      </c>
      <c r="P7" s="33">
        <f t="shared" si="3"/>
        <v>95.300000000000011</v>
      </c>
      <c r="Q7" s="33">
        <f t="shared" si="4"/>
        <v>102.92400000000002</v>
      </c>
    </row>
    <row r="8" spans="1:17" ht="15.6" customHeight="1" x14ac:dyDescent="0.25">
      <c r="A8" s="36">
        <v>52</v>
      </c>
      <c r="B8" s="6" t="s">
        <v>18</v>
      </c>
      <c r="C8" s="7">
        <v>4000</v>
      </c>
      <c r="D8" s="7">
        <v>419.88</v>
      </c>
      <c r="E8" s="8">
        <f t="shared" si="0"/>
        <v>2519.2799999999997</v>
      </c>
      <c r="F8" s="8">
        <f t="shared" si="1"/>
        <v>419.88</v>
      </c>
      <c r="G8" s="9">
        <f t="shared" si="5"/>
        <v>2939.16</v>
      </c>
      <c r="H8" s="37">
        <v>2286.4</v>
      </c>
      <c r="I8" s="10">
        <v>300</v>
      </c>
      <c r="J8" s="10">
        <v>70</v>
      </c>
      <c r="K8" s="120">
        <f>587.84+571.42</f>
        <v>1159.26</v>
      </c>
      <c r="L8" s="12"/>
      <c r="M8" s="22">
        <f t="shared" si="6"/>
        <v>184.33999999999992</v>
      </c>
      <c r="N8" s="14">
        <f t="shared" si="2"/>
        <v>2470.7399999999998</v>
      </c>
      <c r="O8" s="30" t="s">
        <v>47</v>
      </c>
      <c r="P8" s="33">
        <f t="shared" si="3"/>
        <v>18.433999999999994</v>
      </c>
      <c r="Q8" s="33">
        <f t="shared" si="4"/>
        <v>19.908719999999995</v>
      </c>
    </row>
    <row r="9" spans="1:17" x14ac:dyDescent="0.25">
      <c r="A9" s="5">
        <v>62</v>
      </c>
      <c r="B9" s="17" t="s">
        <v>19</v>
      </c>
      <c r="C9" s="7">
        <v>4000</v>
      </c>
      <c r="D9" s="7">
        <v>419.88</v>
      </c>
      <c r="E9" s="8">
        <f t="shared" si="0"/>
        <v>2519.2799999999997</v>
      </c>
      <c r="F9" s="8">
        <f t="shared" si="1"/>
        <v>419.88</v>
      </c>
      <c r="G9" s="9">
        <f t="shared" si="5"/>
        <v>2939.16</v>
      </c>
      <c r="H9" s="37">
        <v>3102</v>
      </c>
      <c r="I9" s="10"/>
      <c r="J9" s="10"/>
      <c r="K9" s="121"/>
      <c r="L9" s="19"/>
      <c r="M9" s="22">
        <f t="shared" si="6"/>
        <v>898</v>
      </c>
      <c r="N9" s="14">
        <f t="shared" si="2"/>
        <v>4000</v>
      </c>
      <c r="O9" s="30" t="s">
        <v>49</v>
      </c>
      <c r="P9" s="33">
        <f t="shared" si="3"/>
        <v>89.800000000000011</v>
      </c>
      <c r="Q9" s="33">
        <f t="shared" si="4"/>
        <v>96.984000000000023</v>
      </c>
    </row>
    <row r="10" spans="1:17" x14ac:dyDescent="0.25">
      <c r="A10" s="5">
        <v>109</v>
      </c>
      <c r="B10" s="17" t="s">
        <v>20</v>
      </c>
      <c r="C10" s="7">
        <v>7000</v>
      </c>
      <c r="D10" s="7">
        <v>419.88</v>
      </c>
      <c r="E10" s="8">
        <f t="shared" si="0"/>
        <v>2519.2799999999997</v>
      </c>
      <c r="F10" s="8">
        <f t="shared" si="1"/>
        <v>419.88</v>
      </c>
      <c r="G10" s="9">
        <f t="shared" si="5"/>
        <v>2939.16</v>
      </c>
      <c r="H10" s="37">
        <v>3101.8</v>
      </c>
      <c r="I10" s="10">
        <v>150</v>
      </c>
      <c r="J10" s="10"/>
      <c r="K10" s="119"/>
      <c r="L10" s="12"/>
      <c r="M10" s="13">
        <f t="shared" si="6"/>
        <v>3748.2</v>
      </c>
      <c r="N10" s="14">
        <f t="shared" si="2"/>
        <v>6850</v>
      </c>
      <c r="O10" s="30" t="s">
        <v>118</v>
      </c>
      <c r="P10" s="33">
        <f t="shared" si="3"/>
        <v>374.82</v>
      </c>
      <c r="Q10" s="33">
        <f t="shared" si="4"/>
        <v>404.80560000000003</v>
      </c>
    </row>
    <row r="11" spans="1:17" x14ac:dyDescent="0.25">
      <c r="A11" s="5">
        <v>114</v>
      </c>
      <c r="B11" s="17" t="s">
        <v>21</v>
      </c>
      <c r="C11" s="7">
        <v>5000</v>
      </c>
      <c r="D11" s="7">
        <v>419.88</v>
      </c>
      <c r="E11" s="8">
        <f t="shared" si="0"/>
        <v>2519.2799999999997</v>
      </c>
      <c r="F11" s="8">
        <f t="shared" si="1"/>
        <v>419.88</v>
      </c>
      <c r="G11" s="9">
        <f t="shared" si="5"/>
        <v>2939.16</v>
      </c>
      <c r="H11" s="37">
        <v>3119.2</v>
      </c>
      <c r="I11" s="10">
        <v>375</v>
      </c>
      <c r="J11" s="10">
        <v>105</v>
      </c>
      <c r="K11" s="119"/>
      <c r="L11" s="12"/>
      <c r="M11" s="13">
        <f t="shared" si="6"/>
        <v>1400.8000000000002</v>
      </c>
      <c r="N11" s="14">
        <f t="shared" si="2"/>
        <v>4520</v>
      </c>
      <c r="O11" s="30">
        <v>0.03</v>
      </c>
      <c r="P11" s="33">
        <f t="shared" si="3"/>
        <v>140.08000000000001</v>
      </c>
      <c r="Q11" s="33">
        <f t="shared" si="4"/>
        <v>151.28640000000001</v>
      </c>
    </row>
    <row r="12" spans="1:17" ht="15" customHeight="1" x14ac:dyDescent="0.25">
      <c r="A12" s="5">
        <v>131</v>
      </c>
      <c r="B12" s="17" t="s">
        <v>22</v>
      </c>
      <c r="C12" s="7">
        <v>3500</v>
      </c>
      <c r="D12" s="7">
        <v>419.88</v>
      </c>
      <c r="E12" s="8">
        <f t="shared" si="0"/>
        <v>2519.2799999999997</v>
      </c>
      <c r="F12" s="8">
        <f t="shared" si="1"/>
        <v>419.88</v>
      </c>
      <c r="G12" s="9">
        <f t="shared" si="5"/>
        <v>2939.16</v>
      </c>
      <c r="H12" s="37">
        <v>3102.8</v>
      </c>
      <c r="I12" s="10">
        <v>150</v>
      </c>
      <c r="J12" s="10">
        <v>140</v>
      </c>
      <c r="K12" s="120"/>
      <c r="L12" s="19"/>
      <c r="M12" s="13">
        <f>C12-H12-I12+L12-K12-J12</f>
        <v>107.19999999999982</v>
      </c>
      <c r="N12" s="14">
        <f t="shared" si="2"/>
        <v>3210</v>
      </c>
      <c r="O12" s="30">
        <v>0.03</v>
      </c>
      <c r="P12" s="33">
        <f t="shared" si="3"/>
        <v>10.719999999999983</v>
      </c>
      <c r="Q12" s="33">
        <f t="shared" si="4"/>
        <v>11.577599999999983</v>
      </c>
    </row>
    <row r="13" spans="1:17" x14ac:dyDescent="0.25">
      <c r="A13" s="36">
        <v>149</v>
      </c>
      <c r="B13" s="6" t="s">
        <v>23</v>
      </c>
      <c r="C13" s="7">
        <v>4000</v>
      </c>
      <c r="D13" s="7">
        <v>419.88</v>
      </c>
      <c r="E13" s="8">
        <f t="shared" si="0"/>
        <v>2519.2799999999997</v>
      </c>
      <c r="F13" s="8">
        <f t="shared" si="1"/>
        <v>419.88</v>
      </c>
      <c r="G13" s="9">
        <f t="shared" si="5"/>
        <v>2939.16</v>
      </c>
      <c r="H13" s="37">
        <v>2668.4</v>
      </c>
      <c r="I13" s="10">
        <v>150</v>
      </c>
      <c r="J13" s="10">
        <v>140</v>
      </c>
      <c r="K13" s="120">
        <v>587.84</v>
      </c>
      <c r="L13" s="19"/>
      <c r="M13" s="22">
        <f>C13-H13-I13+L13-K13-J13</f>
        <v>453.75999999999988</v>
      </c>
      <c r="N13" s="14">
        <f t="shared" si="2"/>
        <v>3122.16</v>
      </c>
      <c r="O13" s="36" t="s">
        <v>50</v>
      </c>
      <c r="P13" s="33">
        <f t="shared" si="3"/>
        <v>45.375999999999991</v>
      </c>
      <c r="Q13" s="33">
        <f t="shared" si="4"/>
        <v>49.00607999999999</v>
      </c>
    </row>
    <row r="14" spans="1:17" x14ac:dyDescent="0.25">
      <c r="A14" s="5">
        <v>150</v>
      </c>
      <c r="B14" s="6" t="s">
        <v>24</v>
      </c>
      <c r="C14" s="7">
        <v>5000</v>
      </c>
      <c r="D14" s="7">
        <v>419.88</v>
      </c>
      <c r="E14" s="8">
        <f t="shared" si="0"/>
        <v>2519.2799999999997</v>
      </c>
      <c r="F14" s="8">
        <f t="shared" si="1"/>
        <v>419.88</v>
      </c>
      <c r="G14" s="9">
        <f t="shared" si="5"/>
        <v>2939.16</v>
      </c>
      <c r="H14" s="37">
        <v>3102</v>
      </c>
      <c r="I14" s="10"/>
      <c r="J14" s="10"/>
      <c r="K14" s="120"/>
      <c r="L14" s="19"/>
      <c r="M14" s="13">
        <f t="shared" si="6"/>
        <v>1898</v>
      </c>
      <c r="N14" s="14">
        <f t="shared" si="2"/>
        <v>5000</v>
      </c>
      <c r="O14" s="30" t="s">
        <v>47</v>
      </c>
      <c r="P14" s="33">
        <f t="shared" si="3"/>
        <v>189.8</v>
      </c>
      <c r="Q14" s="33">
        <f t="shared" si="4"/>
        <v>204.98400000000004</v>
      </c>
    </row>
    <row r="15" spans="1:17" x14ac:dyDescent="0.25">
      <c r="A15" s="5">
        <v>752</v>
      </c>
      <c r="B15" s="6" t="s">
        <v>25</v>
      </c>
      <c r="C15" s="7">
        <v>4500</v>
      </c>
      <c r="D15" s="7">
        <v>419.88</v>
      </c>
      <c r="E15" s="8">
        <f t="shared" si="0"/>
        <v>2519.2799999999997</v>
      </c>
      <c r="F15" s="8">
        <f t="shared" si="1"/>
        <v>419.88</v>
      </c>
      <c r="G15" s="9">
        <f t="shared" si="5"/>
        <v>2939.16</v>
      </c>
      <c r="H15" s="37">
        <v>3114.8</v>
      </c>
      <c r="I15" s="10"/>
      <c r="J15" s="10"/>
      <c r="K15" s="120"/>
      <c r="L15" s="12"/>
      <c r="M15" s="13">
        <f>C15-H15-I15+L15-K15-J15</f>
        <v>1385.1999999999998</v>
      </c>
      <c r="N15" s="14">
        <f t="shared" si="2"/>
        <v>4500</v>
      </c>
      <c r="O15" s="29">
        <v>0.03</v>
      </c>
      <c r="P15" s="33">
        <f t="shared" si="3"/>
        <v>138.51999999999998</v>
      </c>
      <c r="Q15" s="33">
        <f t="shared" si="4"/>
        <v>149.60159999999999</v>
      </c>
    </row>
    <row r="16" spans="1:17" s="55" customFormat="1" x14ac:dyDescent="0.25">
      <c r="A16" s="5">
        <v>162</v>
      </c>
      <c r="B16" s="6" t="s">
        <v>27</v>
      </c>
      <c r="C16" s="7">
        <v>4500</v>
      </c>
      <c r="D16" s="7">
        <v>419.88</v>
      </c>
      <c r="E16" s="8">
        <f t="shared" si="0"/>
        <v>2519.2799999999997</v>
      </c>
      <c r="F16" s="8">
        <f t="shared" si="1"/>
        <v>419.88</v>
      </c>
      <c r="G16" s="9">
        <f t="shared" si="5"/>
        <v>2939.16</v>
      </c>
      <c r="H16" s="37">
        <v>2670.2</v>
      </c>
      <c r="I16" s="10">
        <v>75</v>
      </c>
      <c r="J16" s="10">
        <v>105</v>
      </c>
      <c r="K16" s="120">
        <v>587.84</v>
      </c>
      <c r="L16" s="19"/>
      <c r="M16" s="13">
        <f t="shared" si="6"/>
        <v>1061.96</v>
      </c>
      <c r="N16" s="14">
        <f t="shared" si="2"/>
        <v>3732.16</v>
      </c>
      <c r="O16" s="29">
        <v>0.03</v>
      </c>
      <c r="P16" s="33">
        <f t="shared" si="3"/>
        <v>106.19600000000001</v>
      </c>
      <c r="Q16" s="33">
        <f t="shared" si="4"/>
        <v>114.69168000000002</v>
      </c>
    </row>
    <row r="17" spans="1:17" s="55" customFormat="1" x14ac:dyDescent="0.25">
      <c r="A17" s="5">
        <v>174</v>
      </c>
      <c r="B17" s="6" t="s">
        <v>28</v>
      </c>
      <c r="C17" s="7">
        <v>10000</v>
      </c>
      <c r="D17" s="7">
        <v>419.88</v>
      </c>
      <c r="E17" s="8">
        <f t="shared" si="0"/>
        <v>2519.2799999999997</v>
      </c>
      <c r="F17" s="8">
        <f t="shared" si="1"/>
        <v>419.88</v>
      </c>
      <c r="G17" s="9">
        <f t="shared" si="5"/>
        <v>2939.16</v>
      </c>
      <c r="H17" s="37">
        <v>2123.6</v>
      </c>
      <c r="I17" s="10"/>
      <c r="J17" s="10"/>
      <c r="K17" s="123">
        <v>908.03</v>
      </c>
      <c r="L17" s="12"/>
      <c r="M17" s="13">
        <f t="shared" si="6"/>
        <v>6968.37</v>
      </c>
      <c r="N17" s="14">
        <f t="shared" si="2"/>
        <v>9091.9699999999993</v>
      </c>
      <c r="O17" s="29" t="s">
        <v>50</v>
      </c>
      <c r="P17" s="33">
        <f t="shared" si="3"/>
        <v>696.83699999999999</v>
      </c>
      <c r="Q17" s="33">
        <f t="shared" si="4"/>
        <v>752.58396000000005</v>
      </c>
    </row>
    <row r="18" spans="1:17" s="55" customFormat="1" x14ac:dyDescent="0.25">
      <c r="A18" s="5">
        <v>184</v>
      </c>
      <c r="B18" s="6" t="s">
        <v>29</v>
      </c>
      <c r="C18" s="7">
        <v>8000</v>
      </c>
      <c r="D18" s="7">
        <v>419.88</v>
      </c>
      <c r="E18" s="8">
        <f t="shared" si="0"/>
        <v>2519.2799999999997</v>
      </c>
      <c r="F18" s="8">
        <f t="shared" si="1"/>
        <v>419.88</v>
      </c>
      <c r="G18" s="9">
        <f t="shared" si="5"/>
        <v>2939.16</v>
      </c>
      <c r="H18" s="37">
        <v>3101.8</v>
      </c>
      <c r="I18" s="10">
        <v>375</v>
      </c>
      <c r="J18" s="10">
        <v>140</v>
      </c>
      <c r="K18" s="120"/>
      <c r="L18" s="19"/>
      <c r="M18" s="13">
        <f t="shared" si="6"/>
        <v>4383.2</v>
      </c>
      <c r="N18" s="14">
        <f t="shared" si="2"/>
        <v>7485</v>
      </c>
      <c r="O18" s="29">
        <v>0.03</v>
      </c>
      <c r="P18" s="33">
        <f t="shared" si="3"/>
        <v>438.32</v>
      </c>
      <c r="Q18" s="33">
        <f t="shared" si="4"/>
        <v>473.38560000000001</v>
      </c>
    </row>
    <row r="19" spans="1:17" s="55" customFormat="1" ht="13.5" customHeight="1" x14ac:dyDescent="0.25">
      <c r="A19" s="5">
        <v>204</v>
      </c>
      <c r="B19" s="6" t="s">
        <v>33</v>
      </c>
      <c r="C19" s="7">
        <v>5000</v>
      </c>
      <c r="D19" s="7">
        <v>419.88</v>
      </c>
      <c r="E19" s="8">
        <f t="shared" si="0"/>
        <v>2519.2799999999997</v>
      </c>
      <c r="F19" s="8">
        <f t="shared" si="1"/>
        <v>419.88</v>
      </c>
      <c r="G19" s="9">
        <f t="shared" si="5"/>
        <v>2939.16</v>
      </c>
      <c r="H19" s="37">
        <v>3101.8</v>
      </c>
      <c r="I19" s="10">
        <v>300</v>
      </c>
      <c r="J19" s="10">
        <v>70</v>
      </c>
      <c r="K19" s="119"/>
      <c r="L19" s="19"/>
      <c r="M19" s="13">
        <f t="shared" si="6"/>
        <v>1528.1999999999998</v>
      </c>
      <c r="N19" s="14">
        <f t="shared" si="2"/>
        <v>4630</v>
      </c>
      <c r="O19" s="29" t="s">
        <v>118</v>
      </c>
      <c r="P19" s="33">
        <f t="shared" si="3"/>
        <v>152.82</v>
      </c>
      <c r="Q19" s="33">
        <f t="shared" si="4"/>
        <v>165.04560000000001</v>
      </c>
    </row>
    <row r="20" spans="1:17" s="55" customFormat="1" x14ac:dyDescent="0.25">
      <c r="A20" s="5">
        <v>213</v>
      </c>
      <c r="B20" s="6" t="s">
        <v>34</v>
      </c>
      <c r="C20" s="7">
        <v>4000</v>
      </c>
      <c r="D20" s="7">
        <v>419.88</v>
      </c>
      <c r="E20" s="8">
        <f t="shared" si="0"/>
        <v>2519.2799999999997</v>
      </c>
      <c r="F20" s="8">
        <f t="shared" si="1"/>
        <v>419.88</v>
      </c>
      <c r="G20" s="9">
        <f t="shared" si="5"/>
        <v>2939.16</v>
      </c>
      <c r="H20" s="37">
        <v>3102</v>
      </c>
      <c r="I20" s="10"/>
      <c r="J20" s="10"/>
      <c r="K20" s="119"/>
      <c r="L20" s="12"/>
      <c r="M20" s="13">
        <f t="shared" si="6"/>
        <v>898</v>
      </c>
      <c r="N20" s="14">
        <f t="shared" si="2"/>
        <v>4000</v>
      </c>
      <c r="O20" s="29" t="s">
        <v>50</v>
      </c>
      <c r="P20" s="33">
        <f t="shared" si="3"/>
        <v>89.800000000000011</v>
      </c>
      <c r="Q20" s="33">
        <f t="shared" si="4"/>
        <v>96.984000000000023</v>
      </c>
    </row>
    <row r="21" spans="1:17" s="55" customFormat="1" x14ac:dyDescent="0.25">
      <c r="A21" s="5">
        <v>215</v>
      </c>
      <c r="B21" s="6" t="s">
        <v>35</v>
      </c>
      <c r="C21" s="7">
        <v>5000</v>
      </c>
      <c r="D21" s="7">
        <v>419.88</v>
      </c>
      <c r="E21" s="8">
        <f t="shared" si="0"/>
        <v>2519.2799999999997</v>
      </c>
      <c r="F21" s="8">
        <f t="shared" si="1"/>
        <v>419.88</v>
      </c>
      <c r="G21" s="9">
        <f t="shared" si="5"/>
        <v>2939.16</v>
      </c>
      <c r="H21" s="37">
        <v>3109.2</v>
      </c>
      <c r="I21" s="10"/>
      <c r="J21" s="10">
        <v>105</v>
      </c>
      <c r="K21" s="120"/>
      <c r="L21" s="19"/>
      <c r="M21" s="13">
        <f t="shared" si="6"/>
        <v>1785.8000000000002</v>
      </c>
      <c r="N21" s="14">
        <f t="shared" si="2"/>
        <v>4895</v>
      </c>
      <c r="O21" s="29" t="s">
        <v>118</v>
      </c>
      <c r="P21" s="33">
        <f t="shared" si="3"/>
        <v>178.58000000000004</v>
      </c>
      <c r="Q21" s="33">
        <f t="shared" si="4"/>
        <v>192.86640000000006</v>
      </c>
    </row>
    <row r="22" spans="1:17" s="55" customFormat="1" x14ac:dyDescent="0.25">
      <c r="A22" s="5">
        <v>218</v>
      </c>
      <c r="B22" s="6" t="s">
        <v>36</v>
      </c>
      <c r="C22" s="7">
        <v>3500</v>
      </c>
      <c r="D22" s="7">
        <v>419.88</v>
      </c>
      <c r="E22" s="8">
        <f t="shared" si="0"/>
        <v>2519.2799999999997</v>
      </c>
      <c r="F22" s="8">
        <f t="shared" si="1"/>
        <v>419.88</v>
      </c>
      <c r="G22" s="9">
        <f t="shared" si="5"/>
        <v>2939.16</v>
      </c>
      <c r="H22" s="37">
        <v>3102</v>
      </c>
      <c r="I22" s="10"/>
      <c r="J22" s="10"/>
      <c r="K22" s="122"/>
      <c r="L22" s="12"/>
      <c r="M22" s="13">
        <f t="shared" si="6"/>
        <v>398</v>
      </c>
      <c r="N22" s="14">
        <f t="shared" si="2"/>
        <v>3500</v>
      </c>
      <c r="O22" s="29" t="s">
        <v>49</v>
      </c>
      <c r="P22" s="33">
        <f t="shared" si="3"/>
        <v>39.800000000000004</v>
      </c>
      <c r="Q22" s="33">
        <f t="shared" si="4"/>
        <v>42.984000000000009</v>
      </c>
    </row>
    <row r="23" spans="1:17" s="55" customFormat="1" x14ac:dyDescent="0.25">
      <c r="A23" s="36">
        <v>220</v>
      </c>
      <c r="B23" s="6" t="s">
        <v>37</v>
      </c>
      <c r="C23" s="7">
        <v>4000</v>
      </c>
      <c r="D23" s="7">
        <v>419.88</v>
      </c>
      <c r="E23" s="8">
        <f t="shared" si="0"/>
        <v>2519.2799999999997</v>
      </c>
      <c r="F23" s="8">
        <f t="shared" si="1"/>
        <v>419.88</v>
      </c>
      <c r="G23" s="9">
        <f t="shared" si="5"/>
        <v>2939.16</v>
      </c>
      <c r="H23" s="37">
        <v>2105.4</v>
      </c>
      <c r="I23" s="10">
        <v>375</v>
      </c>
      <c r="J23" s="10">
        <v>35</v>
      </c>
      <c r="K23" s="123">
        <f>610.33+293.92</f>
        <v>904.25</v>
      </c>
      <c r="L23" s="12"/>
      <c r="M23" s="22">
        <f>C23-H23-I23+L23-K23-J23</f>
        <v>580.34999999999991</v>
      </c>
      <c r="N23" s="14">
        <f t="shared" si="2"/>
        <v>2685.75</v>
      </c>
      <c r="O23" s="36">
        <v>0.03</v>
      </c>
      <c r="P23" s="33">
        <f t="shared" si="3"/>
        <v>58.034999999999997</v>
      </c>
      <c r="Q23" s="33">
        <f t="shared" si="4"/>
        <v>62.677799999999998</v>
      </c>
    </row>
    <row r="24" spans="1:17" s="55" customFormat="1" x14ac:dyDescent="0.25">
      <c r="A24" s="5">
        <v>221</v>
      </c>
      <c r="B24" s="6" t="s">
        <v>38</v>
      </c>
      <c r="C24" s="7">
        <v>5000</v>
      </c>
      <c r="D24" s="7">
        <v>419.88</v>
      </c>
      <c r="E24" s="8">
        <f t="shared" si="0"/>
        <v>2519.2799999999997</v>
      </c>
      <c r="F24" s="8">
        <f t="shared" si="1"/>
        <v>419.88</v>
      </c>
      <c r="G24" s="9">
        <f t="shared" si="5"/>
        <v>2939.16</v>
      </c>
      <c r="H24" s="37">
        <v>3109</v>
      </c>
      <c r="I24" s="10">
        <v>375</v>
      </c>
      <c r="J24" s="10"/>
      <c r="K24" s="120"/>
      <c r="L24" s="12"/>
      <c r="M24" s="13">
        <f t="shared" si="6"/>
        <v>1516</v>
      </c>
      <c r="N24" s="14">
        <f t="shared" si="2"/>
        <v>4625</v>
      </c>
      <c r="O24" s="29">
        <v>0.03</v>
      </c>
      <c r="P24" s="33">
        <f t="shared" si="3"/>
        <v>151.6</v>
      </c>
      <c r="Q24" s="33">
        <f t="shared" si="4"/>
        <v>163.72800000000001</v>
      </c>
    </row>
    <row r="25" spans="1:17" s="55" customFormat="1" x14ac:dyDescent="0.25">
      <c r="A25" s="5">
        <v>222</v>
      </c>
      <c r="B25" s="6" t="s">
        <v>39</v>
      </c>
      <c r="C25" s="7">
        <v>8000</v>
      </c>
      <c r="D25" s="7">
        <v>419.88</v>
      </c>
      <c r="E25" s="8">
        <f t="shared" si="0"/>
        <v>2519.2799999999997</v>
      </c>
      <c r="F25" s="8">
        <f t="shared" si="1"/>
        <v>419.88</v>
      </c>
      <c r="G25" s="9">
        <f t="shared" si="5"/>
        <v>2939.16</v>
      </c>
      <c r="H25" s="37">
        <v>2434.6</v>
      </c>
      <c r="I25" s="10">
        <v>375</v>
      </c>
      <c r="J25" s="10">
        <v>140</v>
      </c>
      <c r="K25" s="123">
        <f>1538.46</f>
        <v>1538.46</v>
      </c>
      <c r="L25" s="19"/>
      <c r="M25" s="13">
        <f t="shared" si="6"/>
        <v>3511.9399999999996</v>
      </c>
      <c r="N25" s="14">
        <f t="shared" si="2"/>
        <v>5946.5399999999991</v>
      </c>
      <c r="O25" s="29" t="s">
        <v>118</v>
      </c>
      <c r="P25" s="33">
        <f t="shared" si="3"/>
        <v>351.19399999999996</v>
      </c>
      <c r="Q25" s="33">
        <f t="shared" si="4"/>
        <v>379.28951999999998</v>
      </c>
    </row>
    <row r="26" spans="1:17" s="55" customFormat="1" x14ac:dyDescent="0.25">
      <c r="A26" s="42">
        <v>227</v>
      </c>
      <c r="B26" s="43" t="s">
        <v>41</v>
      </c>
      <c r="C26" s="44">
        <v>6000</v>
      </c>
      <c r="D26" s="44">
        <v>419.88</v>
      </c>
      <c r="E26" s="45">
        <f t="shared" si="0"/>
        <v>2519.2799999999997</v>
      </c>
      <c r="F26" s="45">
        <f t="shared" si="1"/>
        <v>419.88</v>
      </c>
      <c r="G26" s="46">
        <f t="shared" si="5"/>
        <v>2939.16</v>
      </c>
      <c r="H26" s="47">
        <v>35000.400000000001</v>
      </c>
      <c r="I26" s="48"/>
      <c r="J26" s="48"/>
      <c r="K26" s="128"/>
      <c r="L26" s="50"/>
      <c r="M26" s="51"/>
      <c r="N26" s="52">
        <f t="shared" si="2"/>
        <v>35000.400000000001</v>
      </c>
      <c r="O26" s="53" t="s">
        <v>118</v>
      </c>
      <c r="P26" s="54">
        <f t="shared" si="3"/>
        <v>0</v>
      </c>
      <c r="Q26" s="54">
        <f t="shared" si="4"/>
        <v>0</v>
      </c>
    </row>
    <row r="27" spans="1:17" s="55" customFormat="1" x14ac:dyDescent="0.25">
      <c r="A27" s="5">
        <v>233</v>
      </c>
      <c r="B27" s="6" t="s">
        <v>42</v>
      </c>
      <c r="C27" s="7">
        <v>6250</v>
      </c>
      <c r="D27" s="7">
        <v>419.88</v>
      </c>
      <c r="E27" s="8">
        <f t="shared" si="0"/>
        <v>2519.2799999999997</v>
      </c>
      <c r="F27" s="8">
        <f t="shared" si="1"/>
        <v>419.88</v>
      </c>
      <c r="G27" s="9">
        <f t="shared" si="5"/>
        <v>2939.16</v>
      </c>
      <c r="H27" s="37">
        <v>3102</v>
      </c>
      <c r="I27" s="10">
        <v>300</v>
      </c>
      <c r="J27" s="10">
        <v>70</v>
      </c>
      <c r="K27" s="120"/>
      <c r="L27" s="19"/>
      <c r="M27" s="13">
        <f t="shared" si="6"/>
        <v>2778</v>
      </c>
      <c r="N27" s="14">
        <f t="shared" si="2"/>
        <v>5880</v>
      </c>
      <c r="O27" s="31" t="s">
        <v>118</v>
      </c>
      <c r="P27" s="33">
        <f t="shared" si="3"/>
        <v>277.8</v>
      </c>
      <c r="Q27" s="33">
        <f t="shared" si="4"/>
        <v>300.02400000000006</v>
      </c>
    </row>
    <row r="28" spans="1:17" s="55" customFormat="1" x14ac:dyDescent="0.25">
      <c r="A28" s="5">
        <v>244</v>
      </c>
      <c r="B28" s="6" t="s">
        <v>44</v>
      </c>
      <c r="C28" s="7">
        <v>5000</v>
      </c>
      <c r="D28" s="7">
        <v>419.88</v>
      </c>
      <c r="E28" s="8">
        <f t="shared" si="0"/>
        <v>2519.2799999999997</v>
      </c>
      <c r="F28" s="8">
        <f t="shared" si="1"/>
        <v>419.88</v>
      </c>
      <c r="G28" s="9">
        <f t="shared" si="5"/>
        <v>2939.16</v>
      </c>
      <c r="H28" s="37">
        <v>2725</v>
      </c>
      <c r="I28" s="10">
        <v>375</v>
      </c>
      <c r="J28" s="10"/>
      <c r="K28" s="123">
        <v>610.33000000000004</v>
      </c>
      <c r="L28" s="12">
        <v>1071.43</v>
      </c>
      <c r="M28" s="13">
        <f>C28-H28-I28+L28-K28-J28</f>
        <v>2361.1000000000004</v>
      </c>
      <c r="N28" s="14">
        <f t="shared" si="2"/>
        <v>5086.1000000000004</v>
      </c>
      <c r="O28" s="29">
        <v>0.03</v>
      </c>
      <c r="P28" s="33">
        <f t="shared" si="3"/>
        <v>236.11000000000004</v>
      </c>
      <c r="Q28" s="33">
        <f t="shared" si="4"/>
        <v>254.99880000000007</v>
      </c>
    </row>
    <row r="29" spans="1:17" s="55" customFormat="1" x14ac:dyDescent="0.25">
      <c r="A29" s="5">
        <v>245</v>
      </c>
      <c r="B29" s="6" t="s">
        <v>45</v>
      </c>
      <c r="C29" s="7">
        <v>5000</v>
      </c>
      <c r="D29" s="7">
        <v>419.88</v>
      </c>
      <c r="E29" s="8">
        <f t="shared" si="0"/>
        <v>2519.2799999999997</v>
      </c>
      <c r="F29" s="8">
        <f t="shared" si="1"/>
        <v>419.88</v>
      </c>
      <c r="G29" s="9">
        <f t="shared" si="5"/>
        <v>2939.16</v>
      </c>
      <c r="H29" s="37">
        <v>3102</v>
      </c>
      <c r="I29" s="10"/>
      <c r="J29" s="10"/>
      <c r="K29" s="119"/>
      <c r="L29" s="19"/>
      <c r="M29" s="13">
        <f t="shared" si="6"/>
        <v>1898</v>
      </c>
      <c r="N29" s="14">
        <f>H29+M29</f>
        <v>5000</v>
      </c>
      <c r="O29" s="34" t="s">
        <v>47</v>
      </c>
      <c r="P29" s="33">
        <f t="shared" si="3"/>
        <v>189.8</v>
      </c>
      <c r="Q29" s="33">
        <f t="shared" si="4"/>
        <v>204.98400000000004</v>
      </c>
    </row>
    <row r="30" spans="1:17" s="55" customFormat="1" x14ac:dyDescent="0.25">
      <c r="A30" s="5">
        <v>252</v>
      </c>
      <c r="B30" s="6" t="s">
        <v>53</v>
      </c>
      <c r="C30" s="7">
        <v>5000</v>
      </c>
      <c r="D30" s="7">
        <v>419.88</v>
      </c>
      <c r="E30" s="8">
        <f t="shared" si="0"/>
        <v>2519.2799999999997</v>
      </c>
      <c r="F30" s="8">
        <f t="shared" si="1"/>
        <v>419.88</v>
      </c>
      <c r="G30" s="9">
        <f t="shared" si="5"/>
        <v>2939.16</v>
      </c>
      <c r="H30" s="37">
        <v>3102</v>
      </c>
      <c r="I30" s="10">
        <v>225</v>
      </c>
      <c r="J30" s="10"/>
      <c r="K30" s="120"/>
      <c r="L30" s="12"/>
      <c r="M30" s="22">
        <f>C30-H30-I30+L30-K30-J30</f>
        <v>1673</v>
      </c>
      <c r="N30" s="14">
        <f t="shared" si="2"/>
        <v>4775</v>
      </c>
      <c r="O30" s="5">
        <v>0.03</v>
      </c>
      <c r="P30" s="33">
        <f t="shared" si="3"/>
        <v>167.3</v>
      </c>
      <c r="Q30" s="33">
        <f t="shared" si="4"/>
        <v>180.68400000000003</v>
      </c>
    </row>
    <row r="31" spans="1:17" s="55" customFormat="1" x14ac:dyDescent="0.25">
      <c r="A31" s="5">
        <v>260</v>
      </c>
      <c r="B31" s="6" t="s">
        <v>54</v>
      </c>
      <c r="C31" s="7">
        <v>5000</v>
      </c>
      <c r="D31" s="7">
        <v>419.88</v>
      </c>
      <c r="E31" s="8">
        <f t="shared" si="0"/>
        <v>2519.2799999999997</v>
      </c>
      <c r="F31" s="8">
        <f t="shared" si="1"/>
        <v>419.88</v>
      </c>
      <c r="G31" s="9">
        <f t="shared" si="5"/>
        <v>2939.16</v>
      </c>
      <c r="H31" s="37">
        <v>3102</v>
      </c>
      <c r="I31" s="10">
        <v>225</v>
      </c>
      <c r="J31" s="10">
        <v>70</v>
      </c>
      <c r="K31" s="119"/>
      <c r="L31" s="19"/>
      <c r="M31" s="13">
        <f t="shared" si="6"/>
        <v>1603</v>
      </c>
      <c r="N31" s="14">
        <f t="shared" si="2"/>
        <v>4705</v>
      </c>
      <c r="O31" s="5" t="s">
        <v>48</v>
      </c>
      <c r="P31" s="33">
        <f t="shared" si="3"/>
        <v>160.30000000000001</v>
      </c>
      <c r="Q31" s="33">
        <f t="shared" si="4"/>
        <v>173.12400000000002</v>
      </c>
    </row>
    <row r="32" spans="1:17" s="55" customFormat="1" x14ac:dyDescent="0.25">
      <c r="A32" s="5">
        <v>261</v>
      </c>
      <c r="B32" s="6" t="s">
        <v>55</v>
      </c>
      <c r="C32" s="7">
        <v>4000</v>
      </c>
      <c r="D32" s="7">
        <v>419.88</v>
      </c>
      <c r="E32" s="8">
        <f t="shared" si="0"/>
        <v>2519.2799999999997</v>
      </c>
      <c r="F32" s="8">
        <f t="shared" si="1"/>
        <v>419.88</v>
      </c>
      <c r="G32" s="9">
        <f t="shared" si="5"/>
        <v>2939.16</v>
      </c>
      <c r="H32" s="37">
        <v>2118.6</v>
      </c>
      <c r="I32" s="10">
        <v>225</v>
      </c>
      <c r="J32" s="10">
        <v>105</v>
      </c>
      <c r="K32" s="123">
        <v>913.35</v>
      </c>
      <c r="L32" s="19"/>
      <c r="M32" s="13">
        <f t="shared" si="6"/>
        <v>638.05000000000007</v>
      </c>
      <c r="N32" s="14">
        <f t="shared" si="2"/>
        <v>2756.65</v>
      </c>
      <c r="O32" s="5">
        <v>0.03</v>
      </c>
      <c r="P32" s="33">
        <f t="shared" si="3"/>
        <v>63.805000000000007</v>
      </c>
      <c r="Q32" s="33">
        <f t="shared" si="4"/>
        <v>68.909400000000005</v>
      </c>
    </row>
    <row r="33" spans="1:17" s="55" customFormat="1" x14ac:dyDescent="0.25">
      <c r="A33" s="5">
        <v>267</v>
      </c>
      <c r="B33" s="6" t="s">
        <v>56</v>
      </c>
      <c r="C33" s="7">
        <v>5000</v>
      </c>
      <c r="D33" s="7">
        <v>419.88</v>
      </c>
      <c r="E33" s="8">
        <f t="shared" si="0"/>
        <v>2519.2799999999997</v>
      </c>
      <c r="F33" s="8">
        <f t="shared" si="1"/>
        <v>419.88</v>
      </c>
      <c r="G33" s="9">
        <f t="shared" si="5"/>
        <v>2939.16</v>
      </c>
      <c r="H33" s="37">
        <v>2150.6</v>
      </c>
      <c r="I33" s="10">
        <v>300</v>
      </c>
      <c r="J33" s="10"/>
      <c r="K33" s="123">
        <f>435.88+587.84</f>
        <v>1023.72</v>
      </c>
      <c r="L33" s="12"/>
      <c r="M33" s="13">
        <f t="shared" si="6"/>
        <v>1525.68</v>
      </c>
      <c r="N33" s="14">
        <f t="shared" si="2"/>
        <v>3676.2799999999997</v>
      </c>
      <c r="O33" s="5" t="s">
        <v>47</v>
      </c>
      <c r="P33" s="33">
        <f t="shared" si="3"/>
        <v>152.56800000000001</v>
      </c>
      <c r="Q33" s="33">
        <f t="shared" si="4"/>
        <v>164.77344000000002</v>
      </c>
    </row>
    <row r="34" spans="1:17" s="55" customFormat="1" x14ac:dyDescent="0.25">
      <c r="A34" s="5">
        <v>269</v>
      </c>
      <c r="B34" s="6" t="s">
        <v>58</v>
      </c>
      <c r="C34" s="7">
        <v>7000</v>
      </c>
      <c r="D34" s="7">
        <v>419.88</v>
      </c>
      <c r="E34" s="8">
        <f t="shared" si="0"/>
        <v>2519.2799999999997</v>
      </c>
      <c r="F34" s="8">
        <f t="shared" si="1"/>
        <v>419.88</v>
      </c>
      <c r="G34" s="9">
        <f t="shared" si="5"/>
        <v>2939.16</v>
      </c>
      <c r="H34" s="37">
        <v>2681.4</v>
      </c>
      <c r="I34" s="10"/>
      <c r="J34" s="10"/>
      <c r="K34" s="120">
        <v>587.84</v>
      </c>
      <c r="L34" s="19"/>
      <c r="M34" s="13">
        <f t="shared" si="6"/>
        <v>3730.76</v>
      </c>
      <c r="N34" s="14">
        <f>H34+M34</f>
        <v>6412.16</v>
      </c>
      <c r="O34" s="5" t="s">
        <v>118</v>
      </c>
      <c r="P34" s="33">
        <f t="shared" si="3"/>
        <v>373.07600000000002</v>
      </c>
      <c r="Q34" s="33">
        <f t="shared" si="4"/>
        <v>402.92208000000005</v>
      </c>
    </row>
    <row r="35" spans="1:17" s="55" customFormat="1" x14ac:dyDescent="0.25">
      <c r="A35" s="5">
        <v>271</v>
      </c>
      <c r="B35" s="6" t="s">
        <v>59</v>
      </c>
      <c r="C35" s="7">
        <v>4000</v>
      </c>
      <c r="D35" s="7">
        <v>419.88</v>
      </c>
      <c r="E35" s="8">
        <f t="shared" si="0"/>
        <v>2519.2799999999997</v>
      </c>
      <c r="F35" s="8">
        <f t="shared" si="1"/>
        <v>419.88</v>
      </c>
      <c r="G35" s="9">
        <f t="shared" si="5"/>
        <v>2939.16</v>
      </c>
      <c r="H35" s="37">
        <v>3102</v>
      </c>
      <c r="I35" s="10">
        <v>225</v>
      </c>
      <c r="J35" s="10">
        <v>105</v>
      </c>
      <c r="K35" s="120"/>
      <c r="L35" s="19"/>
      <c r="M35" s="22">
        <f t="shared" si="6"/>
        <v>568</v>
      </c>
      <c r="N35" s="14">
        <f t="shared" si="2"/>
        <v>3670</v>
      </c>
      <c r="O35" s="5">
        <v>0.03</v>
      </c>
      <c r="P35" s="33">
        <f t="shared" si="3"/>
        <v>56.800000000000004</v>
      </c>
      <c r="Q35" s="33">
        <f t="shared" si="4"/>
        <v>61.344000000000008</v>
      </c>
    </row>
    <row r="36" spans="1:17" s="55" customFormat="1" x14ac:dyDescent="0.25">
      <c r="A36" s="5">
        <v>275</v>
      </c>
      <c r="B36" s="6" t="s">
        <v>60</v>
      </c>
      <c r="C36" s="7">
        <v>3375</v>
      </c>
      <c r="D36" s="7">
        <v>419.88</v>
      </c>
      <c r="E36" s="8">
        <f t="shared" si="0"/>
        <v>2519.2799999999997</v>
      </c>
      <c r="F36" s="8">
        <f t="shared" si="1"/>
        <v>419.88</v>
      </c>
      <c r="G36" s="9">
        <f t="shared" si="5"/>
        <v>2939.16</v>
      </c>
      <c r="H36" s="37">
        <v>3106.4</v>
      </c>
      <c r="I36" s="10"/>
      <c r="J36" s="10"/>
      <c r="K36" s="120"/>
      <c r="L36" s="19"/>
      <c r="M36" s="13">
        <f>C36-H36-I36+L36-K36-J36</f>
        <v>268.59999999999991</v>
      </c>
      <c r="N36" s="14">
        <f>H36+M36</f>
        <v>3375</v>
      </c>
      <c r="O36" s="5">
        <v>0.03</v>
      </c>
      <c r="P36" s="33">
        <f>+M36*0.1</f>
        <v>26.859999999999992</v>
      </c>
      <c r="Q36" s="33">
        <f>+P36*1.08</f>
        <v>29.008799999999994</v>
      </c>
    </row>
    <row r="37" spans="1:17" s="55" customFormat="1" x14ac:dyDescent="0.25">
      <c r="A37" s="5">
        <v>276</v>
      </c>
      <c r="B37" s="6" t="s">
        <v>61</v>
      </c>
      <c r="C37" s="7">
        <v>5000</v>
      </c>
      <c r="D37" s="7">
        <v>419.88</v>
      </c>
      <c r="E37" s="8">
        <f t="shared" si="0"/>
        <v>2519.2799999999997</v>
      </c>
      <c r="F37" s="8">
        <f t="shared" si="1"/>
        <v>419.88</v>
      </c>
      <c r="G37" s="9">
        <f t="shared" si="5"/>
        <v>2939.16</v>
      </c>
      <c r="H37" s="37">
        <v>3102</v>
      </c>
      <c r="I37" s="10">
        <v>375</v>
      </c>
      <c r="J37" s="10">
        <v>105</v>
      </c>
      <c r="K37" s="119"/>
      <c r="L37" s="19"/>
      <c r="M37" s="13">
        <f t="shared" si="6"/>
        <v>1418</v>
      </c>
      <c r="N37" s="14">
        <f t="shared" si="2"/>
        <v>4520</v>
      </c>
      <c r="O37" s="5">
        <v>0.03</v>
      </c>
      <c r="P37" s="33">
        <f t="shared" si="3"/>
        <v>141.80000000000001</v>
      </c>
      <c r="Q37" s="33">
        <f t="shared" si="4"/>
        <v>153.14400000000003</v>
      </c>
    </row>
    <row r="38" spans="1:17" s="55" customFormat="1" x14ac:dyDescent="0.25">
      <c r="A38" s="5">
        <v>279</v>
      </c>
      <c r="B38" s="6" t="s">
        <v>63</v>
      </c>
      <c r="C38" s="7">
        <v>4500</v>
      </c>
      <c r="D38" s="7">
        <v>419.88</v>
      </c>
      <c r="E38" s="8">
        <f t="shared" si="0"/>
        <v>2519.2799999999997</v>
      </c>
      <c r="F38" s="8">
        <f t="shared" si="1"/>
        <v>419.88</v>
      </c>
      <c r="G38" s="9">
        <f t="shared" si="5"/>
        <v>2939.16</v>
      </c>
      <c r="H38" s="37">
        <v>3117.8</v>
      </c>
      <c r="I38" s="10"/>
      <c r="J38" s="10">
        <v>35</v>
      </c>
      <c r="K38" s="120"/>
      <c r="L38" s="19"/>
      <c r="M38" s="22">
        <f t="shared" si="6"/>
        <v>1347.1999999999998</v>
      </c>
      <c r="N38" s="14">
        <f t="shared" si="2"/>
        <v>4465</v>
      </c>
      <c r="O38" s="5" t="s">
        <v>118</v>
      </c>
      <c r="P38" s="33">
        <f t="shared" si="3"/>
        <v>134.72</v>
      </c>
      <c r="Q38" s="33">
        <f t="shared" si="4"/>
        <v>145.49760000000001</v>
      </c>
    </row>
    <row r="39" spans="1:17" s="55" customFormat="1" x14ac:dyDescent="0.25">
      <c r="A39" s="5">
        <v>280</v>
      </c>
      <c r="B39" s="6" t="s">
        <v>64</v>
      </c>
      <c r="C39" s="7">
        <v>5000</v>
      </c>
      <c r="D39" s="7">
        <v>419.88</v>
      </c>
      <c r="E39" s="8">
        <f t="shared" si="0"/>
        <v>2519.2799999999997</v>
      </c>
      <c r="F39" s="8">
        <f t="shared" si="1"/>
        <v>419.88</v>
      </c>
      <c r="G39" s="9">
        <f t="shared" si="5"/>
        <v>2939.16</v>
      </c>
      <c r="H39" s="37">
        <v>3101.8</v>
      </c>
      <c r="I39" s="10"/>
      <c r="J39" s="10"/>
      <c r="K39" s="119"/>
      <c r="L39" s="19"/>
      <c r="M39" s="13">
        <f t="shared" si="6"/>
        <v>1898.1999999999998</v>
      </c>
      <c r="N39" s="14">
        <f t="shared" si="2"/>
        <v>5000</v>
      </c>
      <c r="O39" s="5" t="s">
        <v>119</v>
      </c>
      <c r="P39" s="33">
        <f t="shared" si="3"/>
        <v>189.82</v>
      </c>
      <c r="Q39" s="33">
        <f t="shared" si="4"/>
        <v>205.00560000000002</v>
      </c>
    </row>
    <row r="40" spans="1:17" s="55" customFormat="1" x14ac:dyDescent="0.25">
      <c r="A40" s="5">
        <v>281</v>
      </c>
      <c r="B40" s="6" t="s">
        <v>65</v>
      </c>
      <c r="C40" s="7">
        <v>8750</v>
      </c>
      <c r="D40" s="7">
        <v>419.88</v>
      </c>
      <c r="E40" s="8">
        <f t="shared" si="0"/>
        <v>2519.2799999999997</v>
      </c>
      <c r="F40" s="8">
        <f t="shared" si="1"/>
        <v>419.88</v>
      </c>
      <c r="G40" s="9">
        <f t="shared" si="5"/>
        <v>2939.16</v>
      </c>
      <c r="H40" s="37">
        <v>3102</v>
      </c>
      <c r="I40" s="10"/>
      <c r="J40" s="10"/>
      <c r="K40" s="119"/>
      <c r="L40" s="19"/>
      <c r="M40" s="13">
        <f t="shared" si="6"/>
        <v>5648</v>
      </c>
      <c r="N40" s="14">
        <f t="shared" si="2"/>
        <v>8750</v>
      </c>
      <c r="O40" s="5">
        <v>0.03</v>
      </c>
      <c r="P40" s="33">
        <f t="shared" si="3"/>
        <v>564.80000000000007</v>
      </c>
      <c r="Q40" s="33">
        <f t="shared" si="4"/>
        <v>609.98400000000015</v>
      </c>
    </row>
    <row r="41" spans="1:17" s="55" customFormat="1" x14ac:dyDescent="0.25">
      <c r="A41" s="5">
        <v>283</v>
      </c>
      <c r="B41" s="6" t="s">
        <v>66</v>
      </c>
      <c r="C41" s="7">
        <v>5000</v>
      </c>
      <c r="D41" s="7">
        <v>419.88</v>
      </c>
      <c r="E41" s="8">
        <f t="shared" si="0"/>
        <v>2519.2799999999997</v>
      </c>
      <c r="F41" s="8">
        <f t="shared" si="1"/>
        <v>419.88</v>
      </c>
      <c r="G41" s="9">
        <f t="shared" si="5"/>
        <v>2939.16</v>
      </c>
      <c r="H41" s="37">
        <v>3102</v>
      </c>
      <c r="I41" s="10"/>
      <c r="J41" s="10">
        <v>35</v>
      </c>
      <c r="K41" s="120"/>
      <c r="L41" s="12"/>
      <c r="M41" s="13">
        <f t="shared" si="6"/>
        <v>1863</v>
      </c>
      <c r="N41" s="14">
        <f t="shared" si="2"/>
        <v>4965</v>
      </c>
      <c r="O41" s="5">
        <v>0.03</v>
      </c>
      <c r="P41" s="33">
        <f t="shared" si="3"/>
        <v>186.3</v>
      </c>
      <c r="Q41" s="33">
        <f t="shared" si="4"/>
        <v>201.20400000000004</v>
      </c>
    </row>
    <row r="42" spans="1:17" s="55" customFormat="1" x14ac:dyDescent="0.25">
      <c r="A42" s="5">
        <v>284</v>
      </c>
      <c r="B42" s="6" t="s">
        <v>67</v>
      </c>
      <c r="C42" s="7">
        <v>4000</v>
      </c>
      <c r="D42" s="7">
        <v>419.88</v>
      </c>
      <c r="E42" s="8">
        <f t="shared" si="0"/>
        <v>2519.2799999999997</v>
      </c>
      <c r="F42" s="8">
        <f t="shared" si="1"/>
        <v>419.88</v>
      </c>
      <c r="G42" s="9">
        <f t="shared" si="5"/>
        <v>2939.16</v>
      </c>
      <c r="H42" s="37">
        <v>3104.6</v>
      </c>
      <c r="I42" s="10">
        <v>150</v>
      </c>
      <c r="J42" s="10">
        <v>70</v>
      </c>
      <c r="K42" s="119"/>
      <c r="L42" s="19"/>
      <c r="M42" s="13">
        <f t="shared" si="6"/>
        <v>675.40000000000009</v>
      </c>
      <c r="N42" s="14">
        <f t="shared" si="2"/>
        <v>3780</v>
      </c>
      <c r="O42" s="5" t="s">
        <v>48</v>
      </c>
      <c r="P42" s="33">
        <f t="shared" si="3"/>
        <v>67.540000000000006</v>
      </c>
      <c r="Q42" s="33">
        <f t="shared" si="4"/>
        <v>72.943200000000004</v>
      </c>
    </row>
    <row r="43" spans="1:17" s="55" customFormat="1" x14ac:dyDescent="0.25">
      <c r="A43" s="5">
        <v>285</v>
      </c>
      <c r="B43" s="6" t="s">
        <v>68</v>
      </c>
      <c r="C43" s="7">
        <v>4000</v>
      </c>
      <c r="D43" s="7">
        <v>419.88</v>
      </c>
      <c r="E43" s="8">
        <f t="shared" si="0"/>
        <v>2519.2799999999997</v>
      </c>
      <c r="F43" s="8">
        <f t="shared" si="1"/>
        <v>419.88</v>
      </c>
      <c r="G43" s="9">
        <f t="shared" si="5"/>
        <v>2939.16</v>
      </c>
      <c r="H43" s="37">
        <v>2886.6</v>
      </c>
      <c r="I43" s="10">
        <v>300</v>
      </c>
      <c r="J43" s="10">
        <v>35</v>
      </c>
      <c r="K43" s="120">
        <v>293.92</v>
      </c>
      <c r="L43" s="19"/>
      <c r="M43" s="13">
        <f>C43-H43-I43+L43-K43-J43</f>
        <v>484.48</v>
      </c>
      <c r="N43" s="14">
        <f t="shared" si="2"/>
        <v>3371.08</v>
      </c>
      <c r="O43" s="5" t="s">
        <v>48</v>
      </c>
      <c r="P43" s="33">
        <f t="shared" si="3"/>
        <v>48.448000000000008</v>
      </c>
      <c r="Q43" s="33">
        <f t="shared" si="4"/>
        <v>52.323840000000011</v>
      </c>
    </row>
    <row r="44" spans="1:17" s="55" customFormat="1" x14ac:dyDescent="0.25">
      <c r="A44" s="5">
        <v>286</v>
      </c>
      <c r="B44" s="6" t="s">
        <v>69</v>
      </c>
      <c r="C44" s="7">
        <v>4000</v>
      </c>
      <c r="D44" s="7">
        <v>419.88</v>
      </c>
      <c r="E44" s="8">
        <f t="shared" si="0"/>
        <v>2519.2799999999997</v>
      </c>
      <c r="F44" s="8">
        <f t="shared" si="1"/>
        <v>419.88</v>
      </c>
      <c r="G44" s="9">
        <f t="shared" si="5"/>
        <v>2939.16</v>
      </c>
      <c r="H44" s="37">
        <v>3102</v>
      </c>
      <c r="I44" s="10">
        <v>375</v>
      </c>
      <c r="J44" s="10"/>
      <c r="K44" s="119"/>
      <c r="L44" s="19"/>
      <c r="M44" s="13">
        <f t="shared" si="6"/>
        <v>523</v>
      </c>
      <c r="N44" s="14">
        <f t="shared" si="2"/>
        <v>3625</v>
      </c>
      <c r="O44" s="5" t="s">
        <v>118</v>
      </c>
      <c r="P44" s="33">
        <f t="shared" si="3"/>
        <v>52.300000000000004</v>
      </c>
      <c r="Q44" s="33">
        <f t="shared" si="4"/>
        <v>56.484000000000009</v>
      </c>
    </row>
    <row r="45" spans="1:17" s="55" customFormat="1" x14ac:dyDescent="0.25">
      <c r="A45" s="5">
        <v>287</v>
      </c>
      <c r="B45" s="6" t="s">
        <v>72</v>
      </c>
      <c r="C45" s="7">
        <v>5000</v>
      </c>
      <c r="D45" s="7">
        <v>419.88</v>
      </c>
      <c r="E45" s="8">
        <f t="shared" si="0"/>
        <v>2519.2799999999997</v>
      </c>
      <c r="F45" s="8">
        <f t="shared" si="1"/>
        <v>419.88</v>
      </c>
      <c r="G45" s="9">
        <f t="shared" si="5"/>
        <v>2939.16</v>
      </c>
      <c r="H45" s="37">
        <v>3120.6</v>
      </c>
      <c r="I45" s="10">
        <v>300</v>
      </c>
      <c r="J45" s="10">
        <v>70</v>
      </c>
      <c r="K45" s="120"/>
      <c r="L45" s="19"/>
      <c r="M45" s="13">
        <f>C45-H45-I45+L45-K45-J45</f>
        <v>1509.4</v>
      </c>
      <c r="N45" s="14">
        <f t="shared" si="2"/>
        <v>4630</v>
      </c>
      <c r="O45" s="5" t="s">
        <v>118</v>
      </c>
      <c r="P45" s="33">
        <f t="shared" si="3"/>
        <v>150.94000000000003</v>
      </c>
      <c r="Q45" s="33">
        <f t="shared" si="4"/>
        <v>163.01520000000005</v>
      </c>
    </row>
    <row r="46" spans="1:17" s="55" customFormat="1" x14ac:dyDescent="0.25">
      <c r="A46" s="5">
        <v>288</v>
      </c>
      <c r="B46" s="6" t="s">
        <v>73</v>
      </c>
      <c r="C46" s="7">
        <v>3500</v>
      </c>
      <c r="D46" s="7">
        <v>419.88</v>
      </c>
      <c r="E46" s="8">
        <f t="shared" si="0"/>
        <v>2519.2799999999997</v>
      </c>
      <c r="F46" s="8">
        <f t="shared" si="1"/>
        <v>419.88</v>
      </c>
      <c r="G46" s="9">
        <f t="shared" si="5"/>
        <v>2939.16</v>
      </c>
      <c r="H46" s="37">
        <v>3102</v>
      </c>
      <c r="I46" s="10"/>
      <c r="J46" s="10"/>
      <c r="K46" s="119"/>
      <c r="L46" s="19">
        <v>1500</v>
      </c>
      <c r="M46" s="13">
        <f>C46-H46-I46+L46-K46-J46</f>
        <v>1898</v>
      </c>
      <c r="N46" s="14">
        <f t="shared" si="2"/>
        <v>5000</v>
      </c>
      <c r="O46" s="5">
        <v>0.03</v>
      </c>
      <c r="P46" s="33">
        <f t="shared" si="3"/>
        <v>189.8</v>
      </c>
      <c r="Q46" s="33">
        <f t="shared" si="4"/>
        <v>204.98400000000004</v>
      </c>
    </row>
    <row r="47" spans="1:17" x14ac:dyDescent="0.25">
      <c r="A47" s="5">
        <v>289</v>
      </c>
      <c r="B47" s="6" t="s">
        <v>74</v>
      </c>
      <c r="C47" s="7">
        <v>3500</v>
      </c>
      <c r="D47" s="7">
        <v>419.88</v>
      </c>
      <c r="E47" s="8">
        <f t="shared" si="0"/>
        <v>2519.2799999999997</v>
      </c>
      <c r="F47" s="8">
        <f t="shared" si="1"/>
        <v>419.88</v>
      </c>
      <c r="G47" s="9">
        <f t="shared" si="5"/>
        <v>2939.16</v>
      </c>
      <c r="H47" s="37">
        <v>3102</v>
      </c>
      <c r="I47" s="10"/>
      <c r="J47" s="10"/>
      <c r="K47" s="119"/>
      <c r="L47" s="19">
        <v>1500</v>
      </c>
      <c r="M47" s="13">
        <f t="shared" si="6"/>
        <v>1898</v>
      </c>
      <c r="N47" s="14">
        <f t="shared" si="2"/>
        <v>5000</v>
      </c>
      <c r="O47" s="5">
        <v>0.03</v>
      </c>
      <c r="P47" s="33">
        <f t="shared" si="3"/>
        <v>189.8</v>
      </c>
      <c r="Q47" s="33">
        <f t="shared" si="4"/>
        <v>204.98400000000004</v>
      </c>
    </row>
    <row r="48" spans="1:17" x14ac:dyDescent="0.25">
      <c r="A48" s="5">
        <v>291</v>
      </c>
      <c r="B48" s="6" t="s">
        <v>78</v>
      </c>
      <c r="C48" s="7">
        <v>4250</v>
      </c>
      <c r="D48" s="7">
        <v>419.88</v>
      </c>
      <c r="E48" s="8">
        <f t="shared" si="0"/>
        <v>2519.2799999999997</v>
      </c>
      <c r="F48" s="8">
        <f t="shared" si="1"/>
        <v>419.88</v>
      </c>
      <c r="G48" s="9">
        <f t="shared" si="5"/>
        <v>2939.16</v>
      </c>
      <c r="H48" s="37">
        <v>3102</v>
      </c>
      <c r="I48" s="10"/>
      <c r="J48" s="10">
        <v>70</v>
      </c>
      <c r="K48" s="119"/>
      <c r="L48" s="19"/>
      <c r="M48" s="13">
        <f t="shared" si="6"/>
        <v>1078</v>
      </c>
      <c r="N48" s="14">
        <f t="shared" si="2"/>
        <v>4180</v>
      </c>
      <c r="O48" s="5">
        <v>0.03</v>
      </c>
      <c r="P48" s="33">
        <f t="shared" si="3"/>
        <v>107.80000000000001</v>
      </c>
      <c r="Q48" s="33">
        <f t="shared" si="4"/>
        <v>116.42400000000002</v>
      </c>
    </row>
    <row r="49" spans="1:17" x14ac:dyDescent="0.25">
      <c r="A49" s="5">
        <v>293</v>
      </c>
      <c r="B49" s="6" t="s">
        <v>89</v>
      </c>
      <c r="C49" s="7">
        <v>4000</v>
      </c>
      <c r="D49" s="7">
        <v>419.88</v>
      </c>
      <c r="E49" s="8">
        <f t="shared" si="0"/>
        <v>2519.2799999999997</v>
      </c>
      <c r="F49" s="8">
        <f t="shared" si="1"/>
        <v>419.88</v>
      </c>
      <c r="G49" s="9">
        <f t="shared" si="5"/>
        <v>2939.16</v>
      </c>
      <c r="H49" s="37">
        <v>3102</v>
      </c>
      <c r="I49" s="10"/>
      <c r="J49" s="10">
        <v>105</v>
      </c>
      <c r="K49" s="119"/>
      <c r="L49" s="12"/>
      <c r="M49" s="13">
        <f t="shared" si="6"/>
        <v>793</v>
      </c>
      <c r="N49" s="14">
        <f t="shared" si="2"/>
        <v>3895</v>
      </c>
      <c r="O49" s="5">
        <v>0.03</v>
      </c>
      <c r="P49" s="33">
        <f t="shared" si="3"/>
        <v>79.300000000000011</v>
      </c>
      <c r="Q49" s="33">
        <f t="shared" si="4"/>
        <v>85.64400000000002</v>
      </c>
    </row>
    <row r="50" spans="1:17" x14ac:dyDescent="0.25">
      <c r="A50" s="5">
        <v>294</v>
      </c>
      <c r="B50" s="6" t="s">
        <v>91</v>
      </c>
      <c r="C50" s="7">
        <v>4000</v>
      </c>
      <c r="D50" s="7">
        <v>419.88</v>
      </c>
      <c r="E50" s="8">
        <f t="shared" si="0"/>
        <v>2519.2799999999997</v>
      </c>
      <c r="F50" s="8">
        <f t="shared" si="1"/>
        <v>419.88</v>
      </c>
      <c r="G50" s="9">
        <f t="shared" si="5"/>
        <v>2939.16</v>
      </c>
      <c r="H50" s="37">
        <v>3102</v>
      </c>
      <c r="I50" s="10">
        <v>375</v>
      </c>
      <c r="J50" s="10">
        <v>140</v>
      </c>
      <c r="K50" s="120"/>
      <c r="L50" s="12"/>
      <c r="M50" s="13">
        <f t="shared" si="6"/>
        <v>383</v>
      </c>
      <c r="N50" s="14">
        <f t="shared" si="2"/>
        <v>3485</v>
      </c>
      <c r="O50" s="5">
        <v>0.03</v>
      </c>
      <c r="P50" s="33">
        <f t="shared" si="3"/>
        <v>38.300000000000004</v>
      </c>
      <c r="Q50" s="33">
        <f t="shared" si="4"/>
        <v>41.364000000000004</v>
      </c>
    </row>
    <row r="51" spans="1:17" x14ac:dyDescent="0.25">
      <c r="A51" s="5">
        <v>298</v>
      </c>
      <c r="B51" s="6" t="s">
        <v>115</v>
      </c>
      <c r="C51" s="7">
        <v>5000</v>
      </c>
      <c r="D51" s="7">
        <v>419.88</v>
      </c>
      <c r="E51" s="8">
        <f t="shared" si="0"/>
        <v>2519.2799999999997</v>
      </c>
      <c r="F51" s="8">
        <f t="shared" si="1"/>
        <v>419.88</v>
      </c>
      <c r="G51" s="9">
        <f t="shared" si="5"/>
        <v>2939.16</v>
      </c>
      <c r="H51" s="37">
        <v>1583.2</v>
      </c>
      <c r="I51" s="10">
        <v>225</v>
      </c>
      <c r="J51" s="10">
        <v>105</v>
      </c>
      <c r="K51" s="123">
        <f>1461.5</f>
        <v>1461.5</v>
      </c>
      <c r="L51" s="12"/>
      <c r="M51" s="22">
        <f t="shared" si="6"/>
        <v>1625.3000000000002</v>
      </c>
      <c r="N51" s="14">
        <f t="shared" si="2"/>
        <v>3208.5</v>
      </c>
      <c r="O51" s="5">
        <v>0.03</v>
      </c>
      <c r="P51" s="33">
        <f t="shared" si="3"/>
        <v>162.53000000000003</v>
      </c>
      <c r="Q51" s="33">
        <f t="shared" si="4"/>
        <v>175.53240000000005</v>
      </c>
    </row>
    <row r="52" spans="1:17" s="55" customFormat="1" x14ac:dyDescent="0.25">
      <c r="A52" s="5">
        <v>300</v>
      </c>
      <c r="B52" s="6" t="s">
        <v>121</v>
      </c>
      <c r="C52" s="7">
        <v>6250</v>
      </c>
      <c r="D52" s="7">
        <v>419.88</v>
      </c>
      <c r="E52" s="8">
        <f t="shared" si="0"/>
        <v>2519.2799999999997</v>
      </c>
      <c r="F52" s="8">
        <f t="shared" si="1"/>
        <v>419.88</v>
      </c>
      <c r="G52" s="9">
        <f t="shared" si="5"/>
        <v>2939.16</v>
      </c>
      <c r="H52" s="37">
        <v>3102</v>
      </c>
      <c r="I52" s="10"/>
      <c r="J52" s="10"/>
      <c r="K52" s="119"/>
      <c r="L52" s="12"/>
      <c r="M52" s="22">
        <f t="shared" si="6"/>
        <v>3148</v>
      </c>
      <c r="N52" s="14">
        <f t="shared" si="2"/>
        <v>6250</v>
      </c>
      <c r="O52" s="5">
        <v>0.03</v>
      </c>
      <c r="P52" s="33">
        <f t="shared" si="3"/>
        <v>314.8</v>
      </c>
      <c r="Q52" s="33">
        <f t="shared" si="4"/>
        <v>339.98400000000004</v>
      </c>
    </row>
    <row r="53" spans="1:17" s="55" customFormat="1" x14ac:dyDescent="0.25">
      <c r="A53" s="5">
        <v>301</v>
      </c>
      <c r="B53" s="6" t="s">
        <v>124</v>
      </c>
      <c r="C53" s="7">
        <v>5000</v>
      </c>
      <c r="D53" s="7">
        <v>419.88</v>
      </c>
      <c r="E53" s="8">
        <f t="shared" si="0"/>
        <v>2519.2799999999997</v>
      </c>
      <c r="F53" s="8">
        <f t="shared" si="1"/>
        <v>419.88</v>
      </c>
      <c r="G53" s="9">
        <f t="shared" si="5"/>
        <v>2939.16</v>
      </c>
      <c r="H53" s="37">
        <v>3102</v>
      </c>
      <c r="I53" s="10"/>
      <c r="J53" s="10"/>
      <c r="K53" s="119"/>
      <c r="L53" s="12"/>
      <c r="M53" s="22">
        <f t="shared" si="6"/>
        <v>1898</v>
      </c>
      <c r="N53" s="14">
        <f t="shared" si="2"/>
        <v>5000</v>
      </c>
      <c r="O53" s="5">
        <v>0.03</v>
      </c>
      <c r="P53" s="33">
        <f t="shared" si="3"/>
        <v>189.8</v>
      </c>
      <c r="Q53" s="33">
        <f t="shared" si="4"/>
        <v>204.98400000000004</v>
      </c>
    </row>
    <row r="54" spans="1:17" s="55" customFormat="1" x14ac:dyDescent="0.25">
      <c r="A54" s="5">
        <v>302</v>
      </c>
      <c r="B54" s="6" t="s">
        <v>128</v>
      </c>
      <c r="C54" s="7">
        <v>5000</v>
      </c>
      <c r="D54" s="7">
        <v>419.88</v>
      </c>
      <c r="E54" s="8">
        <f t="shared" si="0"/>
        <v>2519.2799999999997</v>
      </c>
      <c r="F54" s="8">
        <f t="shared" si="1"/>
        <v>419.88</v>
      </c>
      <c r="G54" s="9">
        <f t="shared" si="5"/>
        <v>2939.16</v>
      </c>
      <c r="H54" s="37">
        <v>0</v>
      </c>
      <c r="I54" s="10"/>
      <c r="J54" s="10"/>
      <c r="K54" s="119">
        <v>5000</v>
      </c>
      <c r="L54" s="12">
        <v>1915.87</v>
      </c>
      <c r="M54" s="22">
        <f t="shared" si="6"/>
        <v>1915.87</v>
      </c>
      <c r="N54" s="14">
        <f t="shared" si="2"/>
        <v>1915.87</v>
      </c>
      <c r="O54" s="5">
        <v>0.03</v>
      </c>
      <c r="P54" s="33">
        <f t="shared" si="3"/>
        <v>191.58699999999999</v>
      </c>
      <c r="Q54" s="33">
        <f t="shared" si="4"/>
        <v>206.91396</v>
      </c>
    </row>
    <row r="55" spans="1:17" s="55" customFormat="1" x14ac:dyDescent="0.25">
      <c r="A55" s="5">
        <v>303</v>
      </c>
      <c r="B55" s="6" t="s">
        <v>129</v>
      </c>
      <c r="C55" s="7">
        <v>4000</v>
      </c>
      <c r="D55" s="7">
        <v>419.88</v>
      </c>
      <c r="E55" s="8">
        <f t="shared" si="0"/>
        <v>2519.2799999999997</v>
      </c>
      <c r="F55" s="8">
        <f t="shared" si="1"/>
        <v>419.88</v>
      </c>
      <c r="G55" s="9">
        <f t="shared" si="5"/>
        <v>2939.16</v>
      </c>
      <c r="H55" s="37">
        <v>3104.8</v>
      </c>
      <c r="I55" s="10">
        <v>300</v>
      </c>
      <c r="J55" s="10"/>
      <c r="K55" s="119"/>
      <c r="L55" s="12"/>
      <c r="M55" s="22">
        <f>C55-H55-I55+L55-K55-J55</f>
        <v>595.19999999999982</v>
      </c>
      <c r="N55" s="14">
        <f t="shared" si="2"/>
        <v>3700</v>
      </c>
      <c r="O55" s="5">
        <v>0.03</v>
      </c>
      <c r="P55" s="33">
        <f t="shared" si="3"/>
        <v>59.519999999999982</v>
      </c>
      <c r="Q55" s="33">
        <f t="shared" si="4"/>
        <v>64.281599999999983</v>
      </c>
    </row>
    <row r="56" spans="1:17" s="55" customFormat="1" x14ac:dyDescent="0.25">
      <c r="A56" s="5">
        <v>304</v>
      </c>
      <c r="B56" s="6" t="s">
        <v>131</v>
      </c>
      <c r="C56" s="7">
        <v>4500</v>
      </c>
      <c r="D56" s="7">
        <v>419.88</v>
      </c>
      <c r="E56" s="8">
        <f t="shared" si="0"/>
        <v>2519.2799999999997</v>
      </c>
      <c r="F56" s="8">
        <f t="shared" si="1"/>
        <v>419.88</v>
      </c>
      <c r="G56" s="9">
        <f t="shared" si="5"/>
        <v>2939.16</v>
      </c>
      <c r="H56" s="37">
        <v>3102</v>
      </c>
      <c r="I56" s="10">
        <v>150</v>
      </c>
      <c r="J56" s="10">
        <v>70</v>
      </c>
      <c r="K56" s="119"/>
      <c r="L56" s="12"/>
      <c r="M56" s="22">
        <f>C56-H56-I56+L56-K56-J56</f>
        <v>1178</v>
      </c>
      <c r="N56" s="14">
        <f t="shared" si="2"/>
        <v>4280</v>
      </c>
      <c r="O56" s="5">
        <v>0.03</v>
      </c>
      <c r="P56" s="33">
        <f t="shared" si="3"/>
        <v>117.80000000000001</v>
      </c>
      <c r="Q56" s="33">
        <f t="shared" si="4"/>
        <v>127.22400000000002</v>
      </c>
    </row>
    <row r="57" spans="1:17" s="55" customFormat="1" x14ac:dyDescent="0.25">
      <c r="A57" s="5">
        <v>306</v>
      </c>
      <c r="B57" s="6" t="s">
        <v>136</v>
      </c>
      <c r="C57" s="7">
        <v>4000</v>
      </c>
      <c r="D57" s="7">
        <v>419.88</v>
      </c>
      <c r="E57" s="8">
        <f t="shared" si="0"/>
        <v>2519.2799999999997</v>
      </c>
      <c r="F57" s="8">
        <f>$D57</f>
        <v>419.88</v>
      </c>
      <c r="G57" s="9">
        <f t="shared" si="5"/>
        <v>2939.16</v>
      </c>
      <c r="H57" s="115">
        <v>3104.8</v>
      </c>
      <c r="I57" s="10">
        <v>375</v>
      </c>
      <c r="J57" s="10">
        <v>70</v>
      </c>
      <c r="K57" s="119"/>
      <c r="L57" s="12"/>
      <c r="M57" s="22">
        <f t="shared" ref="M57:M66" si="7">C57-H57-I57+L57-K57-J57</f>
        <v>450.19999999999982</v>
      </c>
      <c r="N57" s="14">
        <f t="shared" si="2"/>
        <v>3555</v>
      </c>
      <c r="O57" s="5">
        <v>0.03</v>
      </c>
      <c r="P57" s="33">
        <f t="shared" si="3"/>
        <v>45.019999999999982</v>
      </c>
      <c r="Q57" s="33">
        <f t="shared" si="4"/>
        <v>48.621599999999987</v>
      </c>
    </row>
    <row r="58" spans="1:17" s="55" customFormat="1" x14ac:dyDescent="0.25">
      <c r="A58" s="5">
        <v>307</v>
      </c>
      <c r="B58" s="6" t="s">
        <v>140</v>
      </c>
      <c r="C58" s="7">
        <v>4000</v>
      </c>
      <c r="D58" s="7">
        <v>419.88</v>
      </c>
      <c r="E58" s="8">
        <f t="shared" si="0"/>
        <v>2519.2799999999997</v>
      </c>
      <c r="F58" s="8">
        <f t="shared" si="1"/>
        <v>419.88</v>
      </c>
      <c r="G58" s="9">
        <f t="shared" si="5"/>
        <v>2939.16</v>
      </c>
      <c r="H58" s="115">
        <v>3102</v>
      </c>
      <c r="I58" s="10">
        <v>375</v>
      </c>
      <c r="J58" s="10">
        <v>140</v>
      </c>
      <c r="K58" s="119"/>
      <c r="L58" s="12"/>
      <c r="M58" s="22">
        <f t="shared" si="7"/>
        <v>383</v>
      </c>
      <c r="N58" s="14">
        <f t="shared" si="2"/>
        <v>3485</v>
      </c>
      <c r="O58" s="5">
        <v>0.03</v>
      </c>
      <c r="P58" s="33">
        <f t="shared" si="3"/>
        <v>38.300000000000004</v>
      </c>
      <c r="Q58" s="33">
        <f t="shared" si="4"/>
        <v>41.364000000000004</v>
      </c>
    </row>
    <row r="59" spans="1:17" s="55" customFormat="1" x14ac:dyDescent="0.25">
      <c r="A59" s="5">
        <v>308</v>
      </c>
      <c r="B59" s="6" t="s">
        <v>138</v>
      </c>
      <c r="C59" s="7">
        <v>2700</v>
      </c>
      <c r="D59" s="7">
        <v>420.88</v>
      </c>
      <c r="E59" s="8">
        <f t="shared" si="0"/>
        <v>2525.2799999999997</v>
      </c>
      <c r="F59" s="8">
        <f t="shared" si="1"/>
        <v>420.88</v>
      </c>
      <c r="G59" s="9">
        <f t="shared" si="5"/>
        <v>2946.16</v>
      </c>
      <c r="H59" s="115">
        <v>2560</v>
      </c>
      <c r="I59" s="10"/>
      <c r="J59" s="10">
        <v>140</v>
      </c>
      <c r="K59" s="119"/>
      <c r="L59" s="12"/>
      <c r="M59" s="22">
        <f t="shared" si="7"/>
        <v>0</v>
      </c>
      <c r="N59" s="14">
        <f t="shared" si="2"/>
        <v>2560</v>
      </c>
      <c r="O59" s="5">
        <v>0.03</v>
      </c>
      <c r="P59" s="33">
        <f t="shared" si="3"/>
        <v>0</v>
      </c>
      <c r="Q59" s="33">
        <f t="shared" si="4"/>
        <v>0</v>
      </c>
    </row>
    <row r="60" spans="1:17" s="55" customFormat="1" x14ac:dyDescent="0.25">
      <c r="A60" s="5">
        <v>309</v>
      </c>
      <c r="B60" s="6" t="s">
        <v>143</v>
      </c>
      <c r="C60" s="7">
        <v>4000</v>
      </c>
      <c r="D60" s="7">
        <v>419.88</v>
      </c>
      <c r="E60" s="8">
        <f t="shared" si="0"/>
        <v>2519.2799999999997</v>
      </c>
      <c r="F60" s="8">
        <f t="shared" si="1"/>
        <v>419.88</v>
      </c>
      <c r="G60" s="9">
        <f t="shared" si="5"/>
        <v>2939.16</v>
      </c>
      <c r="H60" s="115">
        <v>3102</v>
      </c>
      <c r="I60" s="10"/>
      <c r="J60" s="10">
        <v>70</v>
      </c>
      <c r="K60" s="119"/>
      <c r="L60" s="12"/>
      <c r="M60" s="22">
        <f t="shared" si="7"/>
        <v>828</v>
      </c>
      <c r="N60" s="14">
        <f t="shared" si="2"/>
        <v>3930</v>
      </c>
      <c r="O60" s="5">
        <v>0.03</v>
      </c>
      <c r="P60" s="33">
        <f t="shared" si="3"/>
        <v>82.800000000000011</v>
      </c>
      <c r="Q60" s="33">
        <f t="shared" si="4"/>
        <v>89.424000000000021</v>
      </c>
    </row>
    <row r="61" spans="1:17" s="55" customFormat="1" x14ac:dyDescent="0.25">
      <c r="A61" s="5">
        <v>310</v>
      </c>
      <c r="B61" s="6" t="s">
        <v>147</v>
      </c>
      <c r="C61" s="7">
        <v>5000</v>
      </c>
      <c r="D61" s="7">
        <v>419.88</v>
      </c>
      <c r="E61" s="8">
        <f t="shared" si="0"/>
        <v>2519.2799999999997</v>
      </c>
      <c r="F61" s="8">
        <f t="shared" si="1"/>
        <v>419.88</v>
      </c>
      <c r="G61" s="9">
        <f t="shared" si="5"/>
        <v>2939.16</v>
      </c>
      <c r="H61" s="115">
        <v>3354.2</v>
      </c>
      <c r="I61" s="10">
        <v>375</v>
      </c>
      <c r="J61" s="10">
        <v>105</v>
      </c>
      <c r="K61" s="119"/>
      <c r="L61" s="12"/>
      <c r="M61" s="22">
        <f t="shared" si="7"/>
        <v>1165.8000000000002</v>
      </c>
      <c r="N61" s="14">
        <f t="shared" ref="N61:N66" si="8">H61+M61</f>
        <v>4520</v>
      </c>
      <c r="O61" s="5">
        <v>0.03</v>
      </c>
      <c r="P61" s="33">
        <f t="shared" si="3"/>
        <v>116.58000000000003</v>
      </c>
      <c r="Q61" s="33">
        <f t="shared" si="4"/>
        <v>125.90640000000003</v>
      </c>
    </row>
    <row r="62" spans="1:17" s="55" customFormat="1" x14ac:dyDescent="0.25">
      <c r="A62" s="5">
        <v>311</v>
      </c>
      <c r="B62" s="6" t="s">
        <v>149</v>
      </c>
      <c r="C62" s="7">
        <v>4000</v>
      </c>
      <c r="D62" s="7">
        <v>419.88</v>
      </c>
      <c r="E62" s="8">
        <f t="shared" si="0"/>
        <v>2519.2799999999997</v>
      </c>
      <c r="F62" s="8">
        <f t="shared" si="1"/>
        <v>419.88</v>
      </c>
      <c r="G62" s="9">
        <f t="shared" si="5"/>
        <v>2939.16</v>
      </c>
      <c r="H62" s="115">
        <v>3354.4</v>
      </c>
      <c r="I62" s="10">
        <v>300</v>
      </c>
      <c r="J62" s="10"/>
      <c r="K62" s="119"/>
      <c r="L62" s="12"/>
      <c r="M62" s="22">
        <f t="shared" si="7"/>
        <v>345.59999999999991</v>
      </c>
      <c r="N62" s="14">
        <f t="shared" si="8"/>
        <v>3700</v>
      </c>
      <c r="O62" s="5">
        <v>0.03</v>
      </c>
      <c r="P62" s="33">
        <f t="shared" si="3"/>
        <v>34.559999999999995</v>
      </c>
      <c r="Q62" s="33">
        <f t="shared" si="4"/>
        <v>37.324799999999996</v>
      </c>
    </row>
    <row r="63" spans="1:17" s="55" customFormat="1" x14ac:dyDescent="0.25">
      <c r="A63" s="5">
        <v>312</v>
      </c>
      <c r="B63" s="6" t="s">
        <v>151</v>
      </c>
      <c r="C63" s="7">
        <v>4000</v>
      </c>
      <c r="D63" s="7">
        <v>419.88</v>
      </c>
      <c r="E63" s="8">
        <f t="shared" si="0"/>
        <v>2519.2799999999997</v>
      </c>
      <c r="F63" s="8">
        <f t="shared" si="1"/>
        <v>419.88</v>
      </c>
      <c r="G63" s="9">
        <f t="shared" si="5"/>
        <v>2939.16</v>
      </c>
      <c r="H63" s="127">
        <v>3354.2</v>
      </c>
      <c r="I63" s="10"/>
      <c r="J63" s="10"/>
      <c r="K63" s="119"/>
      <c r="L63" s="12"/>
      <c r="M63" s="22">
        <f t="shared" si="7"/>
        <v>645.80000000000018</v>
      </c>
      <c r="N63" s="14">
        <f t="shared" si="8"/>
        <v>4000</v>
      </c>
      <c r="O63" s="5">
        <v>0.03</v>
      </c>
      <c r="P63" s="33">
        <f>+M63*0.1</f>
        <v>64.580000000000027</v>
      </c>
      <c r="Q63" s="33">
        <f t="shared" si="4"/>
        <v>69.746400000000037</v>
      </c>
    </row>
    <row r="64" spans="1:17" s="55" customFormat="1" x14ac:dyDescent="0.25">
      <c r="A64" s="5">
        <v>313</v>
      </c>
      <c r="B64" s="6" t="s">
        <v>152</v>
      </c>
      <c r="C64" s="7">
        <v>3500</v>
      </c>
      <c r="D64" s="7">
        <v>419.88</v>
      </c>
      <c r="E64" s="8">
        <f>D64*6</f>
        <v>2519.2799999999997</v>
      </c>
      <c r="F64" s="8">
        <f t="shared" si="1"/>
        <v>419.88</v>
      </c>
      <c r="G64" s="9">
        <f>E64+F64</f>
        <v>2939.16</v>
      </c>
      <c r="H64" s="127">
        <v>3354.4</v>
      </c>
      <c r="I64" s="10"/>
      <c r="J64" s="10"/>
      <c r="K64" s="119"/>
      <c r="L64" s="12"/>
      <c r="M64" s="22">
        <f>C64-H64-I64+L64-K64-J64</f>
        <v>145.59999999999991</v>
      </c>
      <c r="N64" s="14">
        <f t="shared" si="8"/>
        <v>3500</v>
      </c>
      <c r="O64" s="5">
        <v>0.03</v>
      </c>
      <c r="P64" s="33">
        <f>+M64*0.1</f>
        <v>14.559999999999992</v>
      </c>
      <c r="Q64" s="33">
        <f>+P64*1.08</f>
        <v>15.724799999999991</v>
      </c>
    </row>
    <row r="65" spans="1:17" s="55" customFormat="1" x14ac:dyDescent="0.25">
      <c r="A65" s="5">
        <v>314</v>
      </c>
      <c r="B65" s="6" t="s">
        <v>154</v>
      </c>
      <c r="C65" s="7">
        <v>7500</v>
      </c>
      <c r="D65" s="7">
        <v>419.88</v>
      </c>
      <c r="E65" s="8">
        <f>D65*6</f>
        <v>2519.2799999999997</v>
      </c>
      <c r="F65" s="8">
        <f t="shared" si="1"/>
        <v>419.88</v>
      </c>
      <c r="G65" s="9">
        <f>E65+F65</f>
        <v>2939.16</v>
      </c>
      <c r="H65" s="127">
        <v>3354.4</v>
      </c>
      <c r="I65" s="10"/>
      <c r="J65" s="10"/>
      <c r="K65" s="119"/>
      <c r="L65" s="12"/>
      <c r="M65" s="22">
        <f>C65-H65-I65+L65-K65-J65</f>
        <v>4145.6000000000004</v>
      </c>
      <c r="N65" s="14">
        <f t="shared" si="8"/>
        <v>7500</v>
      </c>
      <c r="O65" s="5">
        <v>0.03</v>
      </c>
      <c r="P65" s="33">
        <f>+M65*0.1</f>
        <v>414.56000000000006</v>
      </c>
      <c r="Q65" s="33">
        <f>+P65*1.08</f>
        <v>447.72480000000007</v>
      </c>
    </row>
    <row r="66" spans="1:17" s="55" customFormat="1" x14ac:dyDescent="0.25">
      <c r="A66" s="5">
        <v>315</v>
      </c>
      <c r="B66" s="6" t="s">
        <v>155</v>
      </c>
      <c r="C66" s="7">
        <v>3500</v>
      </c>
      <c r="D66" s="7">
        <v>419.88</v>
      </c>
      <c r="E66" s="8">
        <f t="shared" si="0"/>
        <v>2519.2799999999997</v>
      </c>
      <c r="F66" s="8">
        <f t="shared" si="1"/>
        <v>419.88</v>
      </c>
      <c r="G66" s="9">
        <f t="shared" si="5"/>
        <v>2939.16</v>
      </c>
      <c r="H66" s="127">
        <v>3354.4</v>
      </c>
      <c r="I66" s="10"/>
      <c r="J66" s="10"/>
      <c r="K66" s="119"/>
      <c r="L66" s="12"/>
      <c r="M66" s="22">
        <f t="shared" si="7"/>
        <v>145.59999999999991</v>
      </c>
      <c r="N66" s="14">
        <f t="shared" si="8"/>
        <v>3500</v>
      </c>
      <c r="O66" s="5">
        <v>0.03</v>
      </c>
      <c r="P66" s="33">
        <f>+M66*0.1</f>
        <v>14.559999999999992</v>
      </c>
      <c r="Q66" s="33">
        <f t="shared" si="4"/>
        <v>15.724799999999991</v>
      </c>
    </row>
    <row r="67" spans="1:17" s="55" customFormat="1" ht="16.149999999999999" customHeight="1" thickBot="1" x14ac:dyDescent="0.3">
      <c r="A67"/>
      <c r="B67"/>
      <c r="C67"/>
      <c r="D67"/>
      <c r="E67"/>
      <c r="F67"/>
      <c r="G67"/>
      <c r="H67" s="117"/>
      <c r="I67"/>
      <c r="J67"/>
      <c r="K67"/>
      <c r="L67"/>
      <c r="M67"/>
      <c r="N67"/>
      <c r="O67"/>
      <c r="P67"/>
      <c r="Q67"/>
    </row>
    <row r="68" spans="1:17" ht="18" thickBot="1" x14ac:dyDescent="0.35">
      <c r="A68" s="23"/>
      <c r="B68" s="24"/>
      <c r="C68" s="25">
        <f t="shared" ref="C68:N68" si="9">SUM(C4:C67)</f>
        <v>314575</v>
      </c>
      <c r="D68" s="25">
        <f t="shared" si="9"/>
        <v>26453.44000000001</v>
      </c>
      <c r="E68" s="25">
        <f t="shared" si="9"/>
        <v>158720.63999999996</v>
      </c>
      <c r="F68" s="25">
        <f t="shared" si="9"/>
        <v>26453.44000000001</v>
      </c>
      <c r="G68" s="25">
        <f t="shared" si="9"/>
        <v>185174.08000000016</v>
      </c>
      <c r="H68" s="118">
        <f t="shared" si="9"/>
        <v>215570.8</v>
      </c>
      <c r="I68" s="26">
        <f t="shared" si="9"/>
        <v>9450</v>
      </c>
      <c r="J68" s="26">
        <f t="shared" si="9"/>
        <v>2940</v>
      </c>
      <c r="K68" s="26">
        <f t="shared" si="9"/>
        <v>19862.04</v>
      </c>
      <c r="L68" s="27">
        <f t="shared" si="9"/>
        <v>5987.3</v>
      </c>
      <c r="M68" s="25">
        <f t="shared" si="9"/>
        <v>101739.86</v>
      </c>
      <c r="N68" s="25">
        <f t="shared" si="9"/>
        <v>317310.65999999997</v>
      </c>
      <c r="P68" s="25">
        <f>SUM(P4:P67)</f>
        <v>10173.985999999995</v>
      </c>
      <c r="Q68" s="25">
        <f>SUM(Q4:Q67)</f>
        <v>10987.904880000006</v>
      </c>
    </row>
    <row r="69" spans="1:17" x14ac:dyDescent="0.25">
      <c r="I69" s="15">
        <f>I68/75</f>
        <v>126</v>
      </c>
      <c r="J69" s="15">
        <f>J68/35</f>
        <v>84</v>
      </c>
    </row>
    <row r="72" spans="1:17" x14ac:dyDescent="0.25">
      <c r="H72"/>
    </row>
  </sheetData>
  <autoFilter ref="A3:Q66" xr:uid="{00000000-0009-0000-0000-000019000000}"/>
  <mergeCells count="2">
    <mergeCell ref="A1:N1"/>
    <mergeCell ref="A2:N2"/>
  </mergeCells>
  <pageMargins left="0.25" right="0.25" top="0.75" bottom="0.75" header="0.3" footer="0.3"/>
  <pageSetup scale="62" fitToHeight="0" orientation="landscape" r:id="rId1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8A820-A079-46B5-BDBF-102684AFC398}">
  <sheetPr>
    <pageSetUpPr fitToPage="1"/>
  </sheetPr>
  <dimension ref="A1:Q71"/>
  <sheetViews>
    <sheetView showGridLines="0" topLeftCell="A10" zoomScaleNormal="100" workbookViewId="0">
      <selection activeCell="K25" sqref="K25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style="117" customWidth="1"/>
    <col min="9" max="14" width="11.42578125" customWidth="1"/>
    <col min="15" max="15" width="8" customWidth="1"/>
    <col min="16" max="17" width="11.42578125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156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116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6</v>
      </c>
      <c r="B4" s="6" t="s">
        <v>14</v>
      </c>
      <c r="C4" s="7">
        <v>4000</v>
      </c>
      <c r="D4" s="7">
        <v>419.88</v>
      </c>
      <c r="E4" s="8">
        <f t="shared" ref="E4:E65" si="0">D4*6</f>
        <v>2519.2799999999997</v>
      </c>
      <c r="F4" s="8">
        <f t="shared" ref="F4:F65" si="1">$D4</f>
        <v>419.88</v>
      </c>
      <c r="G4" s="9">
        <f>E4+F4</f>
        <v>2939.16</v>
      </c>
      <c r="H4" s="37">
        <v>3496.6</v>
      </c>
      <c r="I4" s="129">
        <v>300</v>
      </c>
      <c r="J4" s="129"/>
      <c r="K4" s="119"/>
      <c r="L4" s="19">
        <v>857.14</v>
      </c>
      <c r="M4" s="13">
        <f>C4-H4-I4+L4-K4-J4</f>
        <v>1060.54</v>
      </c>
      <c r="N4" s="14">
        <f t="shared" ref="N4:N59" si="2">H4+M4</f>
        <v>4557.1399999999994</v>
      </c>
      <c r="O4" s="29" t="s">
        <v>47</v>
      </c>
      <c r="P4" s="33">
        <f t="shared" ref="P4:P61" si="3">+M4*0.1</f>
        <v>106.054</v>
      </c>
      <c r="Q4" s="33">
        <f t="shared" ref="Q4:Q65" si="4">+P4*1.08</f>
        <v>114.53832000000001</v>
      </c>
    </row>
    <row r="5" spans="1:17" x14ac:dyDescent="0.25">
      <c r="A5" s="36">
        <v>14</v>
      </c>
      <c r="B5" s="6" t="s">
        <v>15</v>
      </c>
      <c r="C5" s="7">
        <v>15000</v>
      </c>
      <c r="D5" s="7">
        <v>419.88</v>
      </c>
      <c r="E5" s="8">
        <f t="shared" si="0"/>
        <v>2519.2799999999997</v>
      </c>
      <c r="F5" s="8">
        <f t="shared" si="1"/>
        <v>419.88</v>
      </c>
      <c r="G5" s="9">
        <f t="shared" ref="G5:G65" si="5">E5+F5</f>
        <v>2939.16</v>
      </c>
      <c r="H5" s="37">
        <v>3354.2</v>
      </c>
      <c r="I5" s="129"/>
      <c r="J5" s="129"/>
      <c r="K5" s="120"/>
      <c r="L5" s="19"/>
      <c r="M5" s="13">
        <f>C5-H5-I5+L5-K5-J5</f>
        <v>11645.8</v>
      </c>
      <c r="N5" s="14">
        <f>H5+M5</f>
        <v>15000</v>
      </c>
      <c r="O5" s="30" t="s">
        <v>118</v>
      </c>
      <c r="P5" s="33">
        <f t="shared" si="3"/>
        <v>1164.58</v>
      </c>
      <c r="Q5" s="33">
        <f t="shared" si="4"/>
        <v>1257.7464</v>
      </c>
    </row>
    <row r="6" spans="1:17" ht="15" customHeight="1" x14ac:dyDescent="0.25">
      <c r="A6" s="36">
        <v>24</v>
      </c>
      <c r="B6" s="6" t="s">
        <v>16</v>
      </c>
      <c r="C6" s="7">
        <v>5000</v>
      </c>
      <c r="D6" s="7">
        <v>419.88</v>
      </c>
      <c r="E6" s="8">
        <f t="shared" si="0"/>
        <v>2519.2799999999997</v>
      </c>
      <c r="F6" s="8">
        <f t="shared" si="1"/>
        <v>419.88</v>
      </c>
      <c r="G6" s="9">
        <f t="shared" si="5"/>
        <v>2939.16</v>
      </c>
      <c r="H6" s="37">
        <v>3354.4</v>
      </c>
      <c r="I6" s="129">
        <v>375</v>
      </c>
      <c r="J6" s="129">
        <v>35</v>
      </c>
      <c r="K6" s="120"/>
      <c r="L6" s="19"/>
      <c r="M6" s="13">
        <f t="shared" ref="M6:M53" si="6">C6-H6-I6+L6-K6-J6</f>
        <v>1235.5999999999999</v>
      </c>
      <c r="N6" s="14">
        <f t="shared" si="2"/>
        <v>4590</v>
      </c>
      <c r="O6" s="36" t="s">
        <v>118</v>
      </c>
      <c r="P6" s="33">
        <f t="shared" si="3"/>
        <v>123.56</v>
      </c>
      <c r="Q6" s="33">
        <f t="shared" si="4"/>
        <v>133.44480000000001</v>
      </c>
    </row>
    <row r="7" spans="1:17" x14ac:dyDescent="0.25">
      <c r="A7" s="36">
        <v>43</v>
      </c>
      <c r="B7" s="6" t="s">
        <v>17</v>
      </c>
      <c r="C7" s="7">
        <v>4500</v>
      </c>
      <c r="D7" s="7">
        <v>419.88</v>
      </c>
      <c r="E7" s="8">
        <f t="shared" si="0"/>
        <v>2519.2799999999997</v>
      </c>
      <c r="F7" s="8">
        <f t="shared" si="1"/>
        <v>419.88</v>
      </c>
      <c r="G7" s="9">
        <f t="shared" si="5"/>
        <v>2939.16</v>
      </c>
      <c r="H7" s="37">
        <v>3354.4</v>
      </c>
      <c r="I7" s="129">
        <v>375</v>
      </c>
      <c r="J7" s="129">
        <v>35</v>
      </c>
      <c r="K7" s="119"/>
      <c r="L7" s="12"/>
      <c r="M7" s="13">
        <f t="shared" si="6"/>
        <v>735.59999999999991</v>
      </c>
      <c r="N7" s="14">
        <f t="shared" si="2"/>
        <v>4090</v>
      </c>
      <c r="O7" s="30" t="s">
        <v>118</v>
      </c>
      <c r="P7" s="33">
        <f t="shared" si="3"/>
        <v>73.559999999999988</v>
      </c>
      <c r="Q7" s="33">
        <f t="shared" si="4"/>
        <v>79.444799999999987</v>
      </c>
    </row>
    <row r="8" spans="1:17" ht="15.6" customHeight="1" x14ac:dyDescent="0.25">
      <c r="A8" s="36">
        <v>52</v>
      </c>
      <c r="B8" s="6" t="s">
        <v>18</v>
      </c>
      <c r="C8" s="7">
        <v>4000</v>
      </c>
      <c r="D8" s="7">
        <v>419.88</v>
      </c>
      <c r="E8" s="8">
        <f t="shared" si="0"/>
        <v>2519.2799999999997</v>
      </c>
      <c r="F8" s="8">
        <f t="shared" si="1"/>
        <v>419.88</v>
      </c>
      <c r="G8" s="9">
        <f t="shared" si="5"/>
        <v>2939.16</v>
      </c>
      <c r="H8" s="37">
        <v>3073.8</v>
      </c>
      <c r="I8" s="129"/>
      <c r="J8" s="129">
        <v>140</v>
      </c>
      <c r="K8" s="120">
        <v>280.49</v>
      </c>
      <c r="L8" s="12"/>
      <c r="M8" s="22">
        <f t="shared" si="6"/>
        <v>505.70999999999981</v>
      </c>
      <c r="N8" s="14">
        <f t="shared" si="2"/>
        <v>3579.51</v>
      </c>
      <c r="O8" s="30" t="s">
        <v>47</v>
      </c>
      <c r="P8" s="33">
        <f t="shared" si="3"/>
        <v>50.570999999999984</v>
      </c>
      <c r="Q8" s="33">
        <f t="shared" si="4"/>
        <v>54.616679999999988</v>
      </c>
    </row>
    <row r="9" spans="1:17" x14ac:dyDescent="0.25">
      <c r="A9" s="5">
        <v>62</v>
      </c>
      <c r="B9" s="17" t="s">
        <v>19</v>
      </c>
      <c r="C9" s="7">
        <v>4000</v>
      </c>
      <c r="D9" s="7">
        <v>419.88</v>
      </c>
      <c r="E9" s="8">
        <f t="shared" si="0"/>
        <v>2519.2799999999997</v>
      </c>
      <c r="F9" s="8">
        <f t="shared" si="1"/>
        <v>419.88</v>
      </c>
      <c r="G9" s="9">
        <f t="shared" si="5"/>
        <v>2939.16</v>
      </c>
      <c r="H9" s="37">
        <v>3354.2</v>
      </c>
      <c r="I9" s="129"/>
      <c r="J9" s="129"/>
      <c r="K9" s="121"/>
      <c r="L9" s="19"/>
      <c r="M9" s="22">
        <f t="shared" si="6"/>
        <v>645.80000000000018</v>
      </c>
      <c r="N9" s="14">
        <f t="shared" si="2"/>
        <v>4000</v>
      </c>
      <c r="O9" s="30" t="s">
        <v>49</v>
      </c>
      <c r="P9" s="33">
        <f t="shared" si="3"/>
        <v>64.580000000000027</v>
      </c>
      <c r="Q9" s="33">
        <f t="shared" si="4"/>
        <v>69.746400000000037</v>
      </c>
    </row>
    <row r="10" spans="1:17" x14ac:dyDescent="0.25">
      <c r="A10" s="5">
        <v>109</v>
      </c>
      <c r="B10" s="17" t="s">
        <v>20</v>
      </c>
      <c r="C10" s="7">
        <v>7000</v>
      </c>
      <c r="D10" s="7">
        <v>419.88</v>
      </c>
      <c r="E10" s="8">
        <f t="shared" si="0"/>
        <v>2519.2799999999997</v>
      </c>
      <c r="F10" s="8">
        <f t="shared" si="1"/>
        <v>419.88</v>
      </c>
      <c r="G10" s="9">
        <f t="shared" si="5"/>
        <v>2939.16</v>
      </c>
      <c r="H10" s="37">
        <v>3354.4</v>
      </c>
      <c r="I10" s="129">
        <v>75</v>
      </c>
      <c r="J10" s="129"/>
      <c r="K10" s="119"/>
      <c r="L10" s="12"/>
      <c r="M10" s="13">
        <f t="shared" si="6"/>
        <v>3570.6</v>
      </c>
      <c r="N10" s="14">
        <f t="shared" si="2"/>
        <v>6925</v>
      </c>
      <c r="O10" s="30" t="s">
        <v>118</v>
      </c>
      <c r="P10" s="33">
        <f t="shared" si="3"/>
        <v>357.06</v>
      </c>
      <c r="Q10" s="33">
        <f t="shared" si="4"/>
        <v>385.62480000000005</v>
      </c>
    </row>
    <row r="11" spans="1:17" x14ac:dyDescent="0.25">
      <c r="A11" s="5">
        <v>114</v>
      </c>
      <c r="B11" s="17" t="s">
        <v>21</v>
      </c>
      <c r="C11" s="7">
        <v>5000</v>
      </c>
      <c r="D11" s="7">
        <v>419.88</v>
      </c>
      <c r="E11" s="8">
        <f t="shared" si="0"/>
        <v>2519.2799999999997</v>
      </c>
      <c r="F11" s="8">
        <f t="shared" si="1"/>
        <v>419.88</v>
      </c>
      <c r="G11" s="9">
        <f t="shared" si="5"/>
        <v>2939.16</v>
      </c>
      <c r="H11" s="37">
        <v>3120.2</v>
      </c>
      <c r="I11" s="129">
        <v>375</v>
      </c>
      <c r="J11" s="129">
        <v>70</v>
      </c>
      <c r="K11" s="119">
        <v>293.92</v>
      </c>
      <c r="L11" s="12"/>
      <c r="M11" s="13">
        <f t="shared" si="6"/>
        <v>1140.8800000000001</v>
      </c>
      <c r="N11" s="14">
        <f t="shared" si="2"/>
        <v>4261.08</v>
      </c>
      <c r="O11" s="30">
        <v>0.03</v>
      </c>
      <c r="P11" s="33">
        <f t="shared" si="3"/>
        <v>114.08800000000002</v>
      </c>
      <c r="Q11" s="33">
        <f t="shared" si="4"/>
        <v>123.21504000000003</v>
      </c>
    </row>
    <row r="12" spans="1:17" ht="15" customHeight="1" x14ac:dyDescent="0.25">
      <c r="A12" s="5">
        <v>131</v>
      </c>
      <c r="B12" s="17" t="s">
        <v>22</v>
      </c>
      <c r="C12" s="7">
        <v>3500</v>
      </c>
      <c r="D12" s="7">
        <v>419.88</v>
      </c>
      <c r="E12" s="8">
        <f t="shared" si="0"/>
        <v>2519.2799999999997</v>
      </c>
      <c r="F12" s="8">
        <f t="shared" si="1"/>
        <v>419.88</v>
      </c>
      <c r="G12" s="9">
        <f t="shared" si="5"/>
        <v>2939.16</v>
      </c>
      <c r="H12" s="37">
        <v>3210</v>
      </c>
      <c r="I12" s="129">
        <v>150</v>
      </c>
      <c r="J12" s="129">
        <v>140</v>
      </c>
      <c r="K12" s="120"/>
      <c r="L12" s="19"/>
      <c r="M12" s="13">
        <f>C12-H12-I12+L12-K12-J12</f>
        <v>0</v>
      </c>
      <c r="N12" s="14">
        <f t="shared" si="2"/>
        <v>3210</v>
      </c>
      <c r="O12" s="30">
        <v>0.03</v>
      </c>
      <c r="P12" s="33">
        <f t="shared" si="3"/>
        <v>0</v>
      </c>
      <c r="Q12" s="33">
        <f t="shared" si="4"/>
        <v>0</v>
      </c>
    </row>
    <row r="13" spans="1:17" x14ac:dyDescent="0.25">
      <c r="A13" s="36">
        <v>149</v>
      </c>
      <c r="B13" s="6" t="s">
        <v>23</v>
      </c>
      <c r="C13" s="7">
        <v>4000</v>
      </c>
      <c r="D13" s="7">
        <v>419.88</v>
      </c>
      <c r="E13" s="8">
        <f t="shared" si="0"/>
        <v>2519.2799999999997</v>
      </c>
      <c r="F13" s="8">
        <f t="shared" si="1"/>
        <v>419.88</v>
      </c>
      <c r="G13" s="9">
        <f t="shared" si="5"/>
        <v>2939.16</v>
      </c>
      <c r="H13" s="37">
        <v>2879.2</v>
      </c>
      <c r="I13" s="129">
        <v>150</v>
      </c>
      <c r="J13" s="129">
        <v>140</v>
      </c>
      <c r="K13" s="120">
        <v>587.84</v>
      </c>
      <c r="L13" s="19"/>
      <c r="M13" s="22">
        <f>C13-H13-I13+L13-K13-J13</f>
        <v>242.96000000000015</v>
      </c>
      <c r="N13" s="14">
        <f t="shared" si="2"/>
        <v>3122.16</v>
      </c>
      <c r="O13" s="36" t="s">
        <v>50</v>
      </c>
      <c r="P13" s="33">
        <f t="shared" si="3"/>
        <v>24.296000000000017</v>
      </c>
      <c r="Q13" s="33">
        <f t="shared" si="4"/>
        <v>26.239680000000021</v>
      </c>
    </row>
    <row r="14" spans="1:17" x14ac:dyDescent="0.25">
      <c r="A14" s="5">
        <v>150</v>
      </c>
      <c r="B14" s="6" t="s">
        <v>24</v>
      </c>
      <c r="C14" s="7">
        <v>5000</v>
      </c>
      <c r="D14" s="7">
        <v>419.88</v>
      </c>
      <c r="E14" s="8">
        <f t="shared" si="0"/>
        <v>2519.2799999999997</v>
      </c>
      <c r="F14" s="8">
        <f t="shared" si="1"/>
        <v>419.88</v>
      </c>
      <c r="G14" s="9">
        <f t="shared" si="5"/>
        <v>2939.16</v>
      </c>
      <c r="H14" s="37">
        <v>4398.3999999999996</v>
      </c>
      <c r="I14" s="129"/>
      <c r="J14" s="129"/>
      <c r="K14" s="120"/>
      <c r="L14" s="19">
        <v>2500</v>
      </c>
      <c r="M14" s="13">
        <f t="shared" si="6"/>
        <v>3101.6000000000004</v>
      </c>
      <c r="N14" s="14">
        <f t="shared" si="2"/>
        <v>7500</v>
      </c>
      <c r="O14" s="30" t="s">
        <v>47</v>
      </c>
      <c r="P14" s="33">
        <f t="shared" si="3"/>
        <v>310.16000000000008</v>
      </c>
      <c r="Q14" s="33">
        <f t="shared" si="4"/>
        <v>334.97280000000012</v>
      </c>
    </row>
    <row r="15" spans="1:17" x14ac:dyDescent="0.25">
      <c r="A15" s="5">
        <v>752</v>
      </c>
      <c r="B15" s="6" t="s">
        <v>25</v>
      </c>
      <c r="C15" s="7">
        <v>4500</v>
      </c>
      <c r="D15" s="7">
        <v>419.88</v>
      </c>
      <c r="E15" s="8">
        <f t="shared" si="0"/>
        <v>2519.2799999999997</v>
      </c>
      <c r="F15" s="8">
        <f t="shared" si="1"/>
        <v>419.88</v>
      </c>
      <c r="G15" s="9">
        <f t="shared" si="5"/>
        <v>2939.16</v>
      </c>
      <c r="H15" s="37">
        <v>3354.4</v>
      </c>
      <c r="I15" s="129"/>
      <c r="J15" s="129">
        <v>105</v>
      </c>
      <c r="K15" s="120"/>
      <c r="L15" s="12"/>
      <c r="M15" s="13">
        <f>C15-H15-I15+L15-K15-J15</f>
        <v>1040.5999999999999</v>
      </c>
      <c r="N15" s="14">
        <f t="shared" si="2"/>
        <v>4395</v>
      </c>
      <c r="O15" s="29">
        <v>0.03</v>
      </c>
      <c r="P15" s="33">
        <f t="shared" si="3"/>
        <v>104.06</v>
      </c>
      <c r="Q15" s="33">
        <f t="shared" si="4"/>
        <v>112.38480000000001</v>
      </c>
    </row>
    <row r="16" spans="1:17" s="55" customFormat="1" x14ac:dyDescent="0.25">
      <c r="A16" s="5">
        <v>162</v>
      </c>
      <c r="B16" s="6" t="s">
        <v>27</v>
      </c>
      <c r="C16" s="7">
        <v>4500</v>
      </c>
      <c r="D16" s="7">
        <v>419.88</v>
      </c>
      <c r="E16" s="8">
        <f t="shared" si="0"/>
        <v>2519.2799999999997</v>
      </c>
      <c r="F16" s="8">
        <f t="shared" si="1"/>
        <v>419.88</v>
      </c>
      <c r="G16" s="9">
        <f t="shared" si="5"/>
        <v>2939.16</v>
      </c>
      <c r="H16" s="37">
        <v>2879.2</v>
      </c>
      <c r="I16" s="129">
        <v>150</v>
      </c>
      <c r="J16" s="129"/>
      <c r="K16" s="120">
        <v>587.84</v>
      </c>
      <c r="L16" s="19"/>
      <c r="M16" s="13">
        <f t="shared" si="6"/>
        <v>882.96000000000015</v>
      </c>
      <c r="N16" s="14">
        <f t="shared" si="2"/>
        <v>3762.16</v>
      </c>
      <c r="O16" s="29">
        <v>0.03</v>
      </c>
      <c r="P16" s="33">
        <f t="shared" si="3"/>
        <v>88.296000000000021</v>
      </c>
      <c r="Q16" s="33">
        <f t="shared" si="4"/>
        <v>95.359680000000026</v>
      </c>
    </row>
    <row r="17" spans="1:17" s="55" customFormat="1" x14ac:dyDescent="0.25">
      <c r="A17" s="5">
        <v>174</v>
      </c>
      <c r="B17" s="6" t="s">
        <v>28</v>
      </c>
      <c r="C17" s="7">
        <v>10000</v>
      </c>
      <c r="D17" s="7">
        <v>419.88</v>
      </c>
      <c r="E17" s="8">
        <f t="shared" si="0"/>
        <v>2519.2799999999997</v>
      </c>
      <c r="F17" s="8">
        <f t="shared" si="1"/>
        <v>419.88</v>
      </c>
      <c r="G17" s="9">
        <f t="shared" si="5"/>
        <v>2939.16</v>
      </c>
      <c r="H17" s="37">
        <v>2361</v>
      </c>
      <c r="I17" s="129"/>
      <c r="J17" s="129"/>
      <c r="K17" s="123">
        <v>908.03</v>
      </c>
      <c r="L17" s="12"/>
      <c r="M17" s="13">
        <f t="shared" si="6"/>
        <v>6730.97</v>
      </c>
      <c r="N17" s="14">
        <f t="shared" si="2"/>
        <v>9091.9700000000012</v>
      </c>
      <c r="O17" s="29" t="s">
        <v>50</v>
      </c>
      <c r="P17" s="33">
        <f t="shared" si="3"/>
        <v>673.09700000000009</v>
      </c>
      <c r="Q17" s="33">
        <f t="shared" si="4"/>
        <v>726.9447600000002</v>
      </c>
    </row>
    <row r="18" spans="1:17" s="55" customFormat="1" x14ac:dyDescent="0.25">
      <c r="A18" s="5">
        <v>184</v>
      </c>
      <c r="B18" s="6" t="s">
        <v>29</v>
      </c>
      <c r="C18" s="7">
        <v>8000</v>
      </c>
      <c r="D18" s="7">
        <v>419.88</v>
      </c>
      <c r="E18" s="8">
        <f t="shared" si="0"/>
        <v>2519.2799999999997</v>
      </c>
      <c r="F18" s="8">
        <f t="shared" si="1"/>
        <v>419.88</v>
      </c>
      <c r="G18" s="9">
        <f t="shared" si="5"/>
        <v>2939.16</v>
      </c>
      <c r="H18" s="37">
        <v>3354.4</v>
      </c>
      <c r="I18" s="129">
        <v>375</v>
      </c>
      <c r="J18" s="129">
        <v>140</v>
      </c>
      <c r="K18" s="120"/>
      <c r="L18" s="19"/>
      <c r="M18" s="13">
        <f t="shared" si="6"/>
        <v>4130.6000000000004</v>
      </c>
      <c r="N18" s="14">
        <f t="shared" si="2"/>
        <v>7485</v>
      </c>
      <c r="O18" s="29">
        <v>0.03</v>
      </c>
      <c r="P18" s="33">
        <f t="shared" si="3"/>
        <v>413.06000000000006</v>
      </c>
      <c r="Q18" s="33">
        <f t="shared" si="4"/>
        <v>446.10480000000007</v>
      </c>
    </row>
    <row r="19" spans="1:17" s="55" customFormat="1" ht="13.5" customHeight="1" x14ac:dyDescent="0.25">
      <c r="A19" s="5">
        <v>204</v>
      </c>
      <c r="B19" s="6" t="s">
        <v>33</v>
      </c>
      <c r="C19" s="7">
        <v>5000</v>
      </c>
      <c r="D19" s="7">
        <v>419.88</v>
      </c>
      <c r="E19" s="8">
        <f t="shared" si="0"/>
        <v>2519.2799999999997</v>
      </c>
      <c r="F19" s="8">
        <f t="shared" si="1"/>
        <v>419.88</v>
      </c>
      <c r="G19" s="9">
        <f t="shared" si="5"/>
        <v>2939.16</v>
      </c>
      <c r="H19" s="37">
        <v>3354.4</v>
      </c>
      <c r="I19" s="129">
        <v>375</v>
      </c>
      <c r="J19" s="129">
        <v>70</v>
      </c>
      <c r="K19" s="119"/>
      <c r="L19" s="19"/>
      <c r="M19" s="13">
        <f t="shared" si="6"/>
        <v>1200.5999999999999</v>
      </c>
      <c r="N19" s="14">
        <f t="shared" si="2"/>
        <v>4555</v>
      </c>
      <c r="O19" s="29" t="s">
        <v>118</v>
      </c>
      <c r="P19" s="33">
        <f t="shared" si="3"/>
        <v>120.06</v>
      </c>
      <c r="Q19" s="33">
        <f t="shared" si="4"/>
        <v>129.66480000000001</v>
      </c>
    </row>
    <row r="20" spans="1:17" s="55" customFormat="1" x14ac:dyDescent="0.25">
      <c r="A20" s="5">
        <v>213</v>
      </c>
      <c r="B20" s="6" t="s">
        <v>34</v>
      </c>
      <c r="C20" s="7">
        <v>4000</v>
      </c>
      <c r="D20" s="7">
        <v>419.88</v>
      </c>
      <c r="E20" s="8">
        <f t="shared" si="0"/>
        <v>2519.2799999999997</v>
      </c>
      <c r="F20" s="8">
        <f t="shared" si="1"/>
        <v>419.88</v>
      </c>
      <c r="G20" s="9">
        <f t="shared" si="5"/>
        <v>2939.16</v>
      </c>
      <c r="H20" s="37">
        <v>3354.4</v>
      </c>
      <c r="I20" s="129"/>
      <c r="J20" s="129"/>
      <c r="K20" s="119"/>
      <c r="L20" s="12"/>
      <c r="M20" s="13">
        <f t="shared" si="6"/>
        <v>645.59999999999991</v>
      </c>
      <c r="N20" s="14">
        <f t="shared" si="2"/>
        <v>4000</v>
      </c>
      <c r="O20" s="29" t="s">
        <v>50</v>
      </c>
      <c r="P20" s="33">
        <f t="shared" si="3"/>
        <v>64.559999999999988</v>
      </c>
      <c r="Q20" s="33">
        <f t="shared" si="4"/>
        <v>69.724799999999988</v>
      </c>
    </row>
    <row r="21" spans="1:17" s="55" customFormat="1" x14ac:dyDescent="0.25">
      <c r="A21" s="5">
        <v>215</v>
      </c>
      <c r="B21" s="6" t="s">
        <v>35</v>
      </c>
      <c r="C21" s="7">
        <v>5000</v>
      </c>
      <c r="D21" s="7">
        <v>419.88</v>
      </c>
      <c r="E21" s="8">
        <f t="shared" si="0"/>
        <v>2519.2799999999997</v>
      </c>
      <c r="F21" s="8">
        <f t="shared" si="1"/>
        <v>419.88</v>
      </c>
      <c r="G21" s="9">
        <f t="shared" si="5"/>
        <v>2939.16</v>
      </c>
      <c r="H21" s="37">
        <v>3354.4</v>
      </c>
      <c r="I21" s="129">
        <v>225</v>
      </c>
      <c r="J21" s="129"/>
      <c r="K21" s="120"/>
      <c r="L21" s="19"/>
      <c r="M21" s="13">
        <f t="shared" si="6"/>
        <v>1420.6</v>
      </c>
      <c r="N21" s="14">
        <f t="shared" si="2"/>
        <v>4775</v>
      </c>
      <c r="O21" s="29" t="s">
        <v>118</v>
      </c>
      <c r="P21" s="33">
        <f t="shared" si="3"/>
        <v>142.06</v>
      </c>
      <c r="Q21" s="33">
        <f t="shared" si="4"/>
        <v>153.4248</v>
      </c>
    </row>
    <row r="22" spans="1:17" s="55" customFormat="1" x14ac:dyDescent="0.25">
      <c r="A22" s="5">
        <v>218</v>
      </c>
      <c r="B22" s="6" t="s">
        <v>36</v>
      </c>
      <c r="C22" s="7">
        <v>3500</v>
      </c>
      <c r="D22" s="7">
        <v>419.88</v>
      </c>
      <c r="E22" s="8">
        <f t="shared" si="0"/>
        <v>2519.2799999999997</v>
      </c>
      <c r="F22" s="8">
        <f t="shared" si="1"/>
        <v>419.88</v>
      </c>
      <c r="G22" s="9">
        <f t="shared" si="5"/>
        <v>2939.16</v>
      </c>
      <c r="H22" s="37">
        <v>3354.2</v>
      </c>
      <c r="I22" s="129"/>
      <c r="J22" s="129"/>
      <c r="K22" s="122"/>
      <c r="L22" s="12"/>
      <c r="M22" s="13">
        <f t="shared" si="6"/>
        <v>145.80000000000018</v>
      </c>
      <c r="N22" s="14">
        <f t="shared" si="2"/>
        <v>3500</v>
      </c>
      <c r="O22" s="29" t="s">
        <v>49</v>
      </c>
      <c r="P22" s="33">
        <f t="shared" si="3"/>
        <v>14.58000000000002</v>
      </c>
      <c r="Q22" s="33">
        <f t="shared" si="4"/>
        <v>15.746400000000023</v>
      </c>
    </row>
    <row r="23" spans="1:17" s="55" customFormat="1" x14ac:dyDescent="0.25">
      <c r="A23" s="36">
        <v>220</v>
      </c>
      <c r="B23" s="6" t="s">
        <v>37</v>
      </c>
      <c r="C23" s="7">
        <v>4000</v>
      </c>
      <c r="D23" s="7">
        <v>419.88</v>
      </c>
      <c r="E23" s="8">
        <f t="shared" si="0"/>
        <v>2519.2799999999997</v>
      </c>
      <c r="F23" s="8">
        <f t="shared" si="1"/>
        <v>419.88</v>
      </c>
      <c r="G23" s="9">
        <f t="shared" si="5"/>
        <v>2939.16</v>
      </c>
      <c r="H23" s="37">
        <v>2268.8000000000002</v>
      </c>
      <c r="I23" s="129">
        <v>375</v>
      </c>
      <c r="J23" s="129">
        <v>140</v>
      </c>
      <c r="K23" s="123">
        <f>610.33+587.84</f>
        <v>1198.17</v>
      </c>
      <c r="L23" s="12"/>
      <c r="M23" s="22">
        <f>C23-H23-I23+L23-K23-J23</f>
        <v>18.029999999999745</v>
      </c>
      <c r="N23" s="14">
        <f t="shared" si="2"/>
        <v>2286.83</v>
      </c>
      <c r="O23" s="36">
        <v>0.03</v>
      </c>
      <c r="P23" s="33">
        <f t="shared" si="3"/>
        <v>1.8029999999999746</v>
      </c>
      <c r="Q23" s="33">
        <f t="shared" si="4"/>
        <v>1.9472399999999728</v>
      </c>
    </row>
    <row r="24" spans="1:17" s="55" customFormat="1" x14ac:dyDescent="0.25">
      <c r="A24" s="5">
        <v>221</v>
      </c>
      <c r="B24" s="6" t="s">
        <v>38</v>
      </c>
      <c r="C24" s="7">
        <v>5000</v>
      </c>
      <c r="D24" s="7">
        <v>419.88</v>
      </c>
      <c r="E24" s="8">
        <f t="shared" si="0"/>
        <v>2519.2799999999997</v>
      </c>
      <c r="F24" s="8">
        <f t="shared" si="1"/>
        <v>419.88</v>
      </c>
      <c r="G24" s="9">
        <f t="shared" si="5"/>
        <v>2939.16</v>
      </c>
      <c r="H24" s="37">
        <v>3354.4</v>
      </c>
      <c r="I24" s="129"/>
      <c r="J24" s="129"/>
      <c r="K24" s="120"/>
      <c r="L24" s="12"/>
      <c r="M24" s="13">
        <f t="shared" si="6"/>
        <v>1645.6</v>
      </c>
      <c r="N24" s="14">
        <f t="shared" si="2"/>
        <v>5000</v>
      </c>
      <c r="O24" s="29">
        <v>0.03</v>
      </c>
      <c r="P24" s="33">
        <f t="shared" si="3"/>
        <v>164.56</v>
      </c>
      <c r="Q24" s="33">
        <f t="shared" si="4"/>
        <v>177.72480000000002</v>
      </c>
    </row>
    <row r="25" spans="1:17" s="55" customFormat="1" x14ac:dyDescent="0.25">
      <c r="A25" s="5">
        <v>222</v>
      </c>
      <c r="B25" s="6" t="s">
        <v>39</v>
      </c>
      <c r="C25" s="7">
        <v>8000</v>
      </c>
      <c r="D25" s="7">
        <v>419.88</v>
      </c>
      <c r="E25" s="8">
        <f t="shared" si="0"/>
        <v>2519.2799999999997</v>
      </c>
      <c r="F25" s="8">
        <f t="shared" si="1"/>
        <v>419.88</v>
      </c>
      <c r="G25" s="9">
        <f t="shared" si="5"/>
        <v>2939.16</v>
      </c>
      <c r="H25" s="37">
        <v>2720.2</v>
      </c>
      <c r="I25" s="129">
        <v>375</v>
      </c>
      <c r="J25" s="129">
        <v>140</v>
      </c>
      <c r="K25" s="123">
        <f>1538.46</f>
        <v>1538.46</v>
      </c>
      <c r="L25" s="19">
        <v>285.70999999999998</v>
      </c>
      <c r="M25" s="13">
        <f t="shared" si="6"/>
        <v>3512.05</v>
      </c>
      <c r="N25" s="14">
        <f t="shared" si="2"/>
        <v>6232.25</v>
      </c>
      <c r="O25" s="29" t="s">
        <v>118</v>
      </c>
      <c r="P25" s="33">
        <f t="shared" si="3"/>
        <v>351.20500000000004</v>
      </c>
      <c r="Q25" s="33">
        <f t="shared" si="4"/>
        <v>379.30140000000006</v>
      </c>
    </row>
    <row r="26" spans="1:17" s="55" customFormat="1" x14ac:dyDescent="0.25">
      <c r="A26" s="5">
        <v>233</v>
      </c>
      <c r="B26" s="6" t="s">
        <v>42</v>
      </c>
      <c r="C26" s="7">
        <v>6250</v>
      </c>
      <c r="D26" s="7">
        <v>419.88</v>
      </c>
      <c r="E26" s="8">
        <f t="shared" si="0"/>
        <v>2519.2799999999997</v>
      </c>
      <c r="F26" s="8">
        <f t="shared" si="1"/>
        <v>419.88</v>
      </c>
      <c r="G26" s="9">
        <f t="shared" si="5"/>
        <v>2939.16</v>
      </c>
      <c r="H26" s="37">
        <v>3354.2</v>
      </c>
      <c r="I26" s="129">
        <v>375</v>
      </c>
      <c r="J26" s="129">
        <v>35</v>
      </c>
      <c r="K26" s="120"/>
      <c r="L26" s="19"/>
      <c r="M26" s="13">
        <f t="shared" si="6"/>
        <v>2485.8000000000002</v>
      </c>
      <c r="N26" s="14">
        <f t="shared" si="2"/>
        <v>5840</v>
      </c>
      <c r="O26" s="31" t="s">
        <v>118</v>
      </c>
      <c r="P26" s="33">
        <f t="shared" si="3"/>
        <v>248.58000000000004</v>
      </c>
      <c r="Q26" s="33">
        <f t="shared" si="4"/>
        <v>268.46640000000008</v>
      </c>
    </row>
    <row r="27" spans="1:17" s="55" customFormat="1" x14ac:dyDescent="0.25">
      <c r="A27" s="5">
        <v>244</v>
      </c>
      <c r="B27" s="6" t="s">
        <v>44</v>
      </c>
      <c r="C27" s="7">
        <v>5000</v>
      </c>
      <c r="D27" s="7">
        <v>419.88</v>
      </c>
      <c r="E27" s="8">
        <f t="shared" si="0"/>
        <v>2519.2799999999997</v>
      </c>
      <c r="F27" s="8">
        <f t="shared" si="1"/>
        <v>419.88</v>
      </c>
      <c r="G27" s="9">
        <f t="shared" si="5"/>
        <v>2939.16</v>
      </c>
      <c r="H27" s="37">
        <v>2744</v>
      </c>
      <c r="I27" s="129"/>
      <c r="J27" s="129">
        <v>70</v>
      </c>
      <c r="K27" s="123">
        <v>610.33000000000004</v>
      </c>
      <c r="L27" s="12"/>
      <c r="M27" s="13">
        <f>C27-H27-I27+L27-K27-J27</f>
        <v>1575.67</v>
      </c>
      <c r="N27" s="14">
        <f t="shared" si="2"/>
        <v>4319.67</v>
      </c>
      <c r="O27" s="29">
        <v>0.03</v>
      </c>
      <c r="P27" s="33">
        <f t="shared" si="3"/>
        <v>157.56700000000001</v>
      </c>
      <c r="Q27" s="33">
        <f t="shared" si="4"/>
        <v>170.17236000000003</v>
      </c>
    </row>
    <row r="28" spans="1:17" s="55" customFormat="1" x14ac:dyDescent="0.25">
      <c r="A28" s="5">
        <v>245</v>
      </c>
      <c r="B28" s="6" t="s">
        <v>45</v>
      </c>
      <c r="C28" s="7">
        <v>5000</v>
      </c>
      <c r="D28" s="7">
        <v>419.88</v>
      </c>
      <c r="E28" s="8">
        <f t="shared" si="0"/>
        <v>2519.2799999999997</v>
      </c>
      <c r="F28" s="8">
        <f t="shared" si="1"/>
        <v>419.88</v>
      </c>
      <c r="G28" s="9">
        <f t="shared" si="5"/>
        <v>2939.16</v>
      </c>
      <c r="H28" s="37">
        <v>3354.2</v>
      </c>
      <c r="I28" s="129"/>
      <c r="J28" s="129"/>
      <c r="K28" s="119"/>
      <c r="L28" s="19"/>
      <c r="M28" s="13">
        <f t="shared" si="6"/>
        <v>1645.8000000000002</v>
      </c>
      <c r="N28" s="14">
        <f>H28+M28</f>
        <v>5000</v>
      </c>
      <c r="O28" s="34" t="s">
        <v>47</v>
      </c>
      <c r="P28" s="33">
        <f t="shared" si="3"/>
        <v>164.58000000000004</v>
      </c>
      <c r="Q28" s="33">
        <f t="shared" si="4"/>
        <v>177.74640000000005</v>
      </c>
    </row>
    <row r="29" spans="1:17" s="55" customFormat="1" x14ac:dyDescent="0.25">
      <c r="A29" s="5">
        <v>252</v>
      </c>
      <c r="B29" s="6" t="s">
        <v>53</v>
      </c>
      <c r="C29" s="7">
        <v>5000</v>
      </c>
      <c r="D29" s="7">
        <v>419.88</v>
      </c>
      <c r="E29" s="8">
        <f t="shared" si="0"/>
        <v>2519.2799999999997</v>
      </c>
      <c r="F29" s="8">
        <f t="shared" si="1"/>
        <v>419.88</v>
      </c>
      <c r="G29" s="9">
        <f t="shared" si="5"/>
        <v>2939.16</v>
      </c>
      <c r="H29" s="37">
        <v>3354.2</v>
      </c>
      <c r="I29" s="129">
        <v>150</v>
      </c>
      <c r="J29" s="129"/>
      <c r="K29" s="120"/>
      <c r="L29" s="12"/>
      <c r="M29" s="22">
        <f>C29-H29-I29+L29-K29-J29</f>
        <v>1495.8000000000002</v>
      </c>
      <c r="N29" s="14">
        <f t="shared" si="2"/>
        <v>4850</v>
      </c>
      <c r="O29" s="5">
        <v>0.03</v>
      </c>
      <c r="P29" s="33">
        <f t="shared" si="3"/>
        <v>149.58000000000001</v>
      </c>
      <c r="Q29" s="33">
        <f t="shared" si="4"/>
        <v>161.54640000000003</v>
      </c>
    </row>
    <row r="30" spans="1:17" s="55" customFormat="1" x14ac:dyDescent="0.25">
      <c r="A30" s="5">
        <v>260</v>
      </c>
      <c r="B30" s="6" t="s">
        <v>54</v>
      </c>
      <c r="C30" s="7">
        <v>5000</v>
      </c>
      <c r="D30" s="7">
        <v>419.88</v>
      </c>
      <c r="E30" s="8">
        <f t="shared" si="0"/>
        <v>2519.2799999999997</v>
      </c>
      <c r="F30" s="8">
        <f t="shared" si="1"/>
        <v>419.88</v>
      </c>
      <c r="G30" s="9">
        <f t="shared" si="5"/>
        <v>2939.16</v>
      </c>
      <c r="H30" s="37">
        <v>3354.4</v>
      </c>
      <c r="I30" s="129">
        <v>300</v>
      </c>
      <c r="J30" s="129">
        <v>35</v>
      </c>
      <c r="K30" s="119"/>
      <c r="L30" s="19"/>
      <c r="M30" s="13">
        <f t="shared" si="6"/>
        <v>1310.5999999999999</v>
      </c>
      <c r="N30" s="14">
        <f t="shared" si="2"/>
        <v>4665</v>
      </c>
      <c r="O30" s="5" t="s">
        <v>48</v>
      </c>
      <c r="P30" s="33">
        <f t="shared" si="3"/>
        <v>131.06</v>
      </c>
      <c r="Q30" s="33">
        <f t="shared" si="4"/>
        <v>141.54480000000001</v>
      </c>
    </row>
    <row r="31" spans="1:17" s="55" customFormat="1" x14ac:dyDescent="0.25">
      <c r="A31" s="5">
        <v>261</v>
      </c>
      <c r="B31" s="6" t="s">
        <v>55</v>
      </c>
      <c r="C31" s="7">
        <v>4000</v>
      </c>
      <c r="D31" s="7">
        <v>419.88</v>
      </c>
      <c r="E31" s="8">
        <f t="shared" si="0"/>
        <v>2519.2799999999997</v>
      </c>
      <c r="F31" s="8">
        <f t="shared" si="1"/>
        <v>419.88</v>
      </c>
      <c r="G31" s="9">
        <f t="shared" si="5"/>
        <v>2939.16</v>
      </c>
      <c r="H31" s="37">
        <v>2356</v>
      </c>
      <c r="I31" s="129">
        <v>300</v>
      </c>
      <c r="J31" s="129">
        <v>70</v>
      </c>
      <c r="K31" s="123">
        <v>913.35</v>
      </c>
      <c r="L31" s="19"/>
      <c r="M31" s="13">
        <f t="shared" si="6"/>
        <v>360.65</v>
      </c>
      <c r="N31" s="14">
        <f t="shared" si="2"/>
        <v>2716.65</v>
      </c>
      <c r="O31" s="5">
        <v>0.03</v>
      </c>
      <c r="P31" s="33">
        <f t="shared" si="3"/>
        <v>36.064999999999998</v>
      </c>
      <c r="Q31" s="33">
        <f t="shared" si="4"/>
        <v>38.950200000000002</v>
      </c>
    </row>
    <row r="32" spans="1:17" s="55" customFormat="1" x14ac:dyDescent="0.25">
      <c r="A32" s="5">
        <v>267</v>
      </c>
      <c r="B32" s="6" t="s">
        <v>56</v>
      </c>
      <c r="C32" s="7">
        <v>5000</v>
      </c>
      <c r="D32" s="7">
        <v>419.88</v>
      </c>
      <c r="E32" s="8">
        <f t="shared" si="0"/>
        <v>2519.2799999999997</v>
      </c>
      <c r="F32" s="8">
        <f t="shared" si="1"/>
        <v>419.88</v>
      </c>
      <c r="G32" s="9">
        <f t="shared" si="5"/>
        <v>2939.16</v>
      </c>
      <c r="H32" s="37">
        <v>2372.1999999999998</v>
      </c>
      <c r="I32" s="129">
        <v>375</v>
      </c>
      <c r="J32" s="129">
        <v>105</v>
      </c>
      <c r="K32" s="123">
        <f>435.88+587.84</f>
        <v>1023.72</v>
      </c>
      <c r="L32" s="12"/>
      <c r="M32" s="13">
        <f t="shared" si="6"/>
        <v>1124.0800000000002</v>
      </c>
      <c r="N32" s="14">
        <f t="shared" si="2"/>
        <v>3496.2799999999997</v>
      </c>
      <c r="O32" s="5" t="s">
        <v>47</v>
      </c>
      <c r="P32" s="33">
        <f t="shared" si="3"/>
        <v>112.40800000000002</v>
      </c>
      <c r="Q32" s="33">
        <f t="shared" si="4"/>
        <v>121.40064000000002</v>
      </c>
    </row>
    <row r="33" spans="1:17" s="55" customFormat="1" x14ac:dyDescent="0.25">
      <c r="A33" s="5">
        <v>269</v>
      </c>
      <c r="B33" s="6" t="s">
        <v>58</v>
      </c>
      <c r="C33" s="7">
        <v>7000</v>
      </c>
      <c r="D33" s="7">
        <v>419.88</v>
      </c>
      <c r="E33" s="8">
        <f t="shared" si="0"/>
        <v>2519.2799999999997</v>
      </c>
      <c r="F33" s="8">
        <f t="shared" si="1"/>
        <v>419.88</v>
      </c>
      <c r="G33" s="9">
        <f t="shared" si="5"/>
        <v>2939.16</v>
      </c>
      <c r="H33" s="37">
        <v>3120.4</v>
      </c>
      <c r="I33" s="129"/>
      <c r="J33" s="129"/>
      <c r="K33" s="120">
        <v>293.92</v>
      </c>
      <c r="L33" s="19"/>
      <c r="M33" s="13">
        <f t="shared" si="6"/>
        <v>3585.68</v>
      </c>
      <c r="N33" s="14">
        <f>H33+M33</f>
        <v>6706.08</v>
      </c>
      <c r="O33" s="5" t="s">
        <v>118</v>
      </c>
      <c r="P33" s="33">
        <f t="shared" si="3"/>
        <v>358.56799999999998</v>
      </c>
      <c r="Q33" s="33">
        <f t="shared" si="4"/>
        <v>387.25344000000001</v>
      </c>
    </row>
    <row r="34" spans="1:17" s="55" customFormat="1" x14ac:dyDescent="0.25">
      <c r="A34" s="5">
        <v>271</v>
      </c>
      <c r="B34" s="6" t="s">
        <v>59</v>
      </c>
      <c r="C34" s="7">
        <v>4000</v>
      </c>
      <c r="D34" s="7">
        <v>419.88</v>
      </c>
      <c r="E34" s="8">
        <f t="shared" si="0"/>
        <v>2519.2799999999997</v>
      </c>
      <c r="F34" s="8">
        <f t="shared" si="1"/>
        <v>419.88</v>
      </c>
      <c r="G34" s="9">
        <f t="shared" si="5"/>
        <v>2939.16</v>
      </c>
      <c r="H34" s="37">
        <v>3354.2</v>
      </c>
      <c r="I34" s="129">
        <v>300</v>
      </c>
      <c r="J34" s="129">
        <v>70</v>
      </c>
      <c r="K34" s="120"/>
      <c r="L34" s="19"/>
      <c r="M34" s="22">
        <f t="shared" si="6"/>
        <v>275.80000000000018</v>
      </c>
      <c r="N34" s="14">
        <f t="shared" si="2"/>
        <v>3630</v>
      </c>
      <c r="O34" s="5">
        <v>0.03</v>
      </c>
      <c r="P34" s="33">
        <f t="shared" si="3"/>
        <v>27.58000000000002</v>
      </c>
      <c r="Q34" s="33">
        <f t="shared" si="4"/>
        <v>29.786400000000022</v>
      </c>
    </row>
    <row r="35" spans="1:17" s="55" customFormat="1" x14ac:dyDescent="0.25">
      <c r="A35" s="5">
        <v>275</v>
      </c>
      <c r="B35" s="6" t="s">
        <v>60</v>
      </c>
      <c r="C35" s="7">
        <v>3375</v>
      </c>
      <c r="D35" s="7">
        <v>419.88</v>
      </c>
      <c r="E35" s="8">
        <f t="shared" si="0"/>
        <v>2519.2799999999997</v>
      </c>
      <c r="F35" s="8">
        <f t="shared" si="1"/>
        <v>419.88</v>
      </c>
      <c r="G35" s="9">
        <f t="shared" si="5"/>
        <v>2939.16</v>
      </c>
      <c r="H35" s="37">
        <v>3081.2</v>
      </c>
      <c r="I35" s="129"/>
      <c r="J35" s="129"/>
      <c r="K35" s="120">
        <v>293.92</v>
      </c>
      <c r="L35" s="19"/>
      <c r="M35" s="13">
        <f>C35-H35-I35+L35-K35-J35+0.12</f>
        <v>1.659783421814609E-13</v>
      </c>
      <c r="N35" s="14">
        <f>H35+M35</f>
        <v>3081.2</v>
      </c>
      <c r="O35" s="5">
        <v>0.03</v>
      </c>
      <c r="P35" s="33">
        <f>+M35*0.1</f>
        <v>1.659783421814609E-14</v>
      </c>
      <c r="Q35" s="33">
        <f>+P35*1.08</f>
        <v>1.7925660955597778E-14</v>
      </c>
    </row>
    <row r="36" spans="1:17" s="55" customFormat="1" x14ac:dyDescent="0.25">
      <c r="A36" s="5">
        <v>276</v>
      </c>
      <c r="B36" s="6" t="s">
        <v>61</v>
      </c>
      <c r="C36" s="7">
        <v>5000</v>
      </c>
      <c r="D36" s="7">
        <v>419.88</v>
      </c>
      <c r="E36" s="8">
        <f t="shared" si="0"/>
        <v>2519.2799999999997</v>
      </c>
      <c r="F36" s="8">
        <f t="shared" si="1"/>
        <v>419.88</v>
      </c>
      <c r="G36" s="9">
        <f t="shared" si="5"/>
        <v>2939.16</v>
      </c>
      <c r="H36" s="37">
        <v>3354.4</v>
      </c>
      <c r="I36" s="129">
        <v>375</v>
      </c>
      <c r="J36" s="129">
        <v>140</v>
      </c>
      <c r="K36" s="119"/>
      <c r="L36" s="19"/>
      <c r="M36" s="13">
        <f t="shared" si="6"/>
        <v>1130.5999999999999</v>
      </c>
      <c r="N36" s="14">
        <f t="shared" si="2"/>
        <v>4485</v>
      </c>
      <c r="O36" s="5">
        <v>0.03</v>
      </c>
      <c r="P36" s="33">
        <f t="shared" si="3"/>
        <v>113.06</v>
      </c>
      <c r="Q36" s="33">
        <f t="shared" si="4"/>
        <v>122.10480000000001</v>
      </c>
    </row>
    <row r="37" spans="1:17" s="55" customFormat="1" x14ac:dyDescent="0.25">
      <c r="A37" s="5">
        <v>279</v>
      </c>
      <c r="B37" s="6" t="s">
        <v>63</v>
      </c>
      <c r="C37" s="7">
        <v>4500</v>
      </c>
      <c r="D37" s="7">
        <v>419.88</v>
      </c>
      <c r="E37" s="8">
        <f t="shared" si="0"/>
        <v>2519.2799999999997</v>
      </c>
      <c r="F37" s="8">
        <f t="shared" si="1"/>
        <v>419.88</v>
      </c>
      <c r="G37" s="9">
        <f t="shared" si="5"/>
        <v>2939.16</v>
      </c>
      <c r="H37" s="37">
        <v>3120.2</v>
      </c>
      <c r="I37" s="129"/>
      <c r="J37" s="129">
        <v>70</v>
      </c>
      <c r="K37" s="120">
        <v>293.92</v>
      </c>
      <c r="L37" s="19"/>
      <c r="M37" s="22">
        <f t="shared" si="6"/>
        <v>1015.8800000000001</v>
      </c>
      <c r="N37" s="14">
        <f t="shared" si="2"/>
        <v>4136.08</v>
      </c>
      <c r="O37" s="5" t="s">
        <v>118</v>
      </c>
      <c r="P37" s="33">
        <f t="shared" si="3"/>
        <v>101.58800000000002</v>
      </c>
      <c r="Q37" s="33">
        <f t="shared" si="4"/>
        <v>109.71504000000003</v>
      </c>
    </row>
    <row r="38" spans="1:17" s="55" customFormat="1" x14ac:dyDescent="0.25">
      <c r="A38" s="5">
        <v>280</v>
      </c>
      <c r="B38" s="6" t="s">
        <v>64</v>
      </c>
      <c r="C38" s="7">
        <v>5000</v>
      </c>
      <c r="D38" s="7">
        <v>419.88</v>
      </c>
      <c r="E38" s="8">
        <f t="shared" si="0"/>
        <v>2519.2799999999997</v>
      </c>
      <c r="F38" s="8">
        <f t="shared" si="1"/>
        <v>419.88</v>
      </c>
      <c r="G38" s="9">
        <f t="shared" si="5"/>
        <v>2939.16</v>
      </c>
      <c r="H38" s="37">
        <v>3354.4</v>
      </c>
      <c r="I38" s="129"/>
      <c r="J38" s="129"/>
      <c r="K38" s="119"/>
      <c r="L38" s="19"/>
      <c r="M38" s="13">
        <f t="shared" si="6"/>
        <v>1645.6</v>
      </c>
      <c r="N38" s="14">
        <f t="shared" si="2"/>
        <v>5000</v>
      </c>
      <c r="O38" s="5" t="s">
        <v>119</v>
      </c>
      <c r="P38" s="33">
        <f t="shared" si="3"/>
        <v>164.56</v>
      </c>
      <c r="Q38" s="33">
        <f t="shared" si="4"/>
        <v>177.72480000000002</v>
      </c>
    </row>
    <row r="39" spans="1:17" s="55" customFormat="1" x14ac:dyDescent="0.25">
      <c r="A39" s="5">
        <v>281</v>
      </c>
      <c r="B39" s="6" t="s">
        <v>65</v>
      </c>
      <c r="C39" s="7">
        <v>8750</v>
      </c>
      <c r="D39" s="7">
        <v>419.88</v>
      </c>
      <c r="E39" s="8">
        <f t="shared" si="0"/>
        <v>2519.2799999999997</v>
      </c>
      <c r="F39" s="8">
        <f t="shared" si="1"/>
        <v>419.88</v>
      </c>
      <c r="G39" s="9">
        <f t="shared" si="5"/>
        <v>2939.16</v>
      </c>
      <c r="H39" s="37">
        <v>3354.2</v>
      </c>
      <c r="I39" s="129"/>
      <c r="J39" s="129"/>
      <c r="K39" s="119"/>
      <c r="L39" s="19"/>
      <c r="M39" s="13">
        <f t="shared" si="6"/>
        <v>5395.8</v>
      </c>
      <c r="N39" s="14">
        <f t="shared" si="2"/>
        <v>8750</v>
      </c>
      <c r="O39" s="5">
        <v>0.03</v>
      </c>
      <c r="P39" s="33">
        <f t="shared" si="3"/>
        <v>539.58000000000004</v>
      </c>
      <c r="Q39" s="33">
        <f t="shared" si="4"/>
        <v>582.74640000000011</v>
      </c>
    </row>
    <row r="40" spans="1:17" s="55" customFormat="1" x14ac:dyDescent="0.25">
      <c r="A40" s="5">
        <v>283</v>
      </c>
      <c r="B40" s="6" t="s">
        <v>66</v>
      </c>
      <c r="C40" s="7">
        <v>5000</v>
      </c>
      <c r="D40" s="7">
        <v>419.88</v>
      </c>
      <c r="E40" s="8">
        <f t="shared" si="0"/>
        <v>2519.2799999999997</v>
      </c>
      <c r="F40" s="8">
        <f t="shared" si="1"/>
        <v>419.88</v>
      </c>
      <c r="G40" s="9">
        <f t="shared" si="5"/>
        <v>2939.16</v>
      </c>
      <c r="H40" s="37">
        <v>3354.4</v>
      </c>
      <c r="I40" s="129"/>
      <c r="J40" s="129"/>
      <c r="K40" s="120"/>
      <c r="L40" s="12"/>
      <c r="M40" s="13">
        <f t="shared" si="6"/>
        <v>1645.6</v>
      </c>
      <c r="N40" s="14">
        <f t="shared" si="2"/>
        <v>5000</v>
      </c>
      <c r="O40" s="5">
        <v>0.03</v>
      </c>
      <c r="P40" s="33">
        <f t="shared" si="3"/>
        <v>164.56</v>
      </c>
      <c r="Q40" s="33">
        <f t="shared" si="4"/>
        <v>177.72480000000002</v>
      </c>
    </row>
    <row r="41" spans="1:17" s="55" customFormat="1" x14ac:dyDescent="0.25">
      <c r="A41" s="5">
        <v>284</v>
      </c>
      <c r="B41" s="6" t="s">
        <v>67</v>
      </c>
      <c r="C41" s="7">
        <v>4000</v>
      </c>
      <c r="D41" s="7">
        <v>419.88</v>
      </c>
      <c r="E41" s="8">
        <f t="shared" si="0"/>
        <v>2519.2799999999997</v>
      </c>
      <c r="F41" s="8">
        <f t="shared" si="1"/>
        <v>419.88</v>
      </c>
      <c r="G41" s="9">
        <f t="shared" si="5"/>
        <v>2939.16</v>
      </c>
      <c r="H41" s="37">
        <v>3354.4</v>
      </c>
      <c r="I41" s="129">
        <v>150</v>
      </c>
      <c r="J41" s="129">
        <v>105</v>
      </c>
      <c r="K41" s="119"/>
      <c r="L41" s="19"/>
      <c r="M41" s="13">
        <f t="shared" si="6"/>
        <v>390.59999999999991</v>
      </c>
      <c r="N41" s="14">
        <f t="shared" si="2"/>
        <v>3745</v>
      </c>
      <c r="O41" s="5" t="s">
        <v>48</v>
      </c>
      <c r="P41" s="33">
        <f t="shared" si="3"/>
        <v>39.059999999999995</v>
      </c>
      <c r="Q41" s="33">
        <f t="shared" si="4"/>
        <v>42.184799999999996</v>
      </c>
    </row>
    <row r="42" spans="1:17" s="55" customFormat="1" x14ac:dyDescent="0.25">
      <c r="A42" s="5">
        <v>285</v>
      </c>
      <c r="B42" s="6" t="s">
        <v>68</v>
      </c>
      <c r="C42" s="7">
        <v>4000</v>
      </c>
      <c r="D42" s="7">
        <v>419.88</v>
      </c>
      <c r="E42" s="8">
        <f t="shared" si="0"/>
        <v>2519.2799999999997</v>
      </c>
      <c r="F42" s="8">
        <f t="shared" si="1"/>
        <v>419.88</v>
      </c>
      <c r="G42" s="9">
        <f t="shared" si="5"/>
        <v>2939.16</v>
      </c>
      <c r="H42" s="37">
        <v>3354.4</v>
      </c>
      <c r="I42" s="129">
        <v>225</v>
      </c>
      <c r="J42" s="129">
        <v>70</v>
      </c>
      <c r="K42" s="120"/>
      <c r="L42" s="19"/>
      <c r="M42" s="13">
        <f>C42-H42-I42+L42-K42-J42</f>
        <v>350.59999999999991</v>
      </c>
      <c r="N42" s="14">
        <f t="shared" si="2"/>
        <v>3705</v>
      </c>
      <c r="O42" s="5" t="s">
        <v>48</v>
      </c>
      <c r="P42" s="33">
        <f t="shared" si="3"/>
        <v>35.059999999999995</v>
      </c>
      <c r="Q42" s="33">
        <f t="shared" si="4"/>
        <v>37.864799999999995</v>
      </c>
    </row>
    <row r="43" spans="1:17" s="55" customFormat="1" x14ac:dyDescent="0.25">
      <c r="A43" s="5">
        <v>286</v>
      </c>
      <c r="B43" s="6" t="s">
        <v>69</v>
      </c>
      <c r="C43" s="7">
        <v>4000</v>
      </c>
      <c r="D43" s="7">
        <v>419.88</v>
      </c>
      <c r="E43" s="8">
        <f t="shared" si="0"/>
        <v>2519.2799999999997</v>
      </c>
      <c r="F43" s="8">
        <f t="shared" si="1"/>
        <v>419.88</v>
      </c>
      <c r="G43" s="9">
        <f t="shared" si="5"/>
        <v>2939.16</v>
      </c>
      <c r="H43" s="37">
        <v>3354.2</v>
      </c>
      <c r="I43" s="129"/>
      <c r="J43" s="129"/>
      <c r="K43" s="119"/>
      <c r="L43" s="19"/>
      <c r="M43" s="13">
        <f t="shared" si="6"/>
        <v>645.80000000000018</v>
      </c>
      <c r="N43" s="14">
        <f t="shared" si="2"/>
        <v>4000</v>
      </c>
      <c r="O43" s="5" t="s">
        <v>118</v>
      </c>
      <c r="P43" s="33">
        <f t="shared" si="3"/>
        <v>64.580000000000027</v>
      </c>
      <c r="Q43" s="33">
        <f t="shared" si="4"/>
        <v>69.746400000000037</v>
      </c>
    </row>
    <row r="44" spans="1:17" s="55" customFormat="1" x14ac:dyDescent="0.25">
      <c r="A44" s="5">
        <v>287</v>
      </c>
      <c r="B44" s="6" t="s">
        <v>72</v>
      </c>
      <c r="C44" s="7">
        <v>5000</v>
      </c>
      <c r="D44" s="7">
        <v>419.88</v>
      </c>
      <c r="E44" s="8">
        <f t="shared" si="0"/>
        <v>2519.2799999999997</v>
      </c>
      <c r="F44" s="8">
        <f t="shared" si="1"/>
        <v>419.88</v>
      </c>
      <c r="G44" s="9">
        <f t="shared" si="5"/>
        <v>2939.16</v>
      </c>
      <c r="H44" s="37">
        <v>3120.4</v>
      </c>
      <c r="I44" s="129">
        <v>375</v>
      </c>
      <c r="J44" s="129"/>
      <c r="K44" s="120">
        <v>293.92</v>
      </c>
      <c r="L44" s="19"/>
      <c r="M44" s="13">
        <f>C44-H44-I44+L44-K44-J44</f>
        <v>1210.6799999999998</v>
      </c>
      <c r="N44" s="14">
        <f t="shared" si="2"/>
        <v>4331.08</v>
      </c>
      <c r="O44" s="5" t="s">
        <v>118</v>
      </c>
      <c r="P44" s="33">
        <f t="shared" si="3"/>
        <v>121.06799999999998</v>
      </c>
      <c r="Q44" s="33">
        <f t="shared" si="4"/>
        <v>130.75343999999998</v>
      </c>
    </row>
    <row r="45" spans="1:17" s="55" customFormat="1" x14ac:dyDescent="0.25">
      <c r="A45" s="5">
        <v>288</v>
      </c>
      <c r="B45" s="6" t="s">
        <v>73</v>
      </c>
      <c r="C45" s="7">
        <v>3500</v>
      </c>
      <c r="D45" s="7">
        <v>419.88</v>
      </c>
      <c r="E45" s="8">
        <f t="shared" si="0"/>
        <v>2519.2799999999997</v>
      </c>
      <c r="F45" s="8">
        <f t="shared" si="1"/>
        <v>419.88</v>
      </c>
      <c r="G45" s="9">
        <f t="shared" si="5"/>
        <v>2939.16</v>
      </c>
      <c r="H45" s="37">
        <v>3354.4</v>
      </c>
      <c r="I45" s="129"/>
      <c r="J45" s="129"/>
      <c r="K45" s="119"/>
      <c r="L45" s="19"/>
      <c r="M45" s="13">
        <f>C45-H45-I45+L45-K45-J45</f>
        <v>145.59999999999991</v>
      </c>
      <c r="N45" s="14">
        <f t="shared" si="2"/>
        <v>3500</v>
      </c>
      <c r="O45" s="5">
        <v>0.03</v>
      </c>
      <c r="P45" s="33">
        <f t="shared" si="3"/>
        <v>14.559999999999992</v>
      </c>
      <c r="Q45" s="33">
        <f t="shared" si="4"/>
        <v>15.724799999999991</v>
      </c>
    </row>
    <row r="46" spans="1:17" x14ac:dyDescent="0.25">
      <c r="A46" s="5">
        <v>289</v>
      </c>
      <c r="B46" s="6" t="s">
        <v>74</v>
      </c>
      <c r="C46" s="7">
        <v>3500</v>
      </c>
      <c r="D46" s="7">
        <v>419.88</v>
      </c>
      <c r="E46" s="8">
        <f t="shared" si="0"/>
        <v>2519.2799999999997</v>
      </c>
      <c r="F46" s="8">
        <f t="shared" si="1"/>
        <v>419.88</v>
      </c>
      <c r="G46" s="9">
        <f t="shared" si="5"/>
        <v>2939.16</v>
      </c>
      <c r="H46" s="37">
        <v>3354.4</v>
      </c>
      <c r="I46" s="129"/>
      <c r="J46" s="129"/>
      <c r="K46" s="119"/>
      <c r="L46" s="19">
        <f>1500+1500+1500</f>
        <v>4500</v>
      </c>
      <c r="M46" s="13">
        <f t="shared" si="6"/>
        <v>4645.6000000000004</v>
      </c>
      <c r="N46" s="14">
        <f t="shared" si="2"/>
        <v>8000</v>
      </c>
      <c r="O46" s="5">
        <v>0.03</v>
      </c>
      <c r="P46" s="33">
        <f t="shared" si="3"/>
        <v>464.56000000000006</v>
      </c>
      <c r="Q46" s="33">
        <f t="shared" si="4"/>
        <v>501.72480000000007</v>
      </c>
    </row>
    <row r="47" spans="1:17" x14ac:dyDescent="0.25">
      <c r="A47" s="5">
        <v>291</v>
      </c>
      <c r="B47" s="6" t="s">
        <v>78</v>
      </c>
      <c r="C47" s="7">
        <v>4250</v>
      </c>
      <c r="D47" s="7">
        <v>419.88</v>
      </c>
      <c r="E47" s="8">
        <f t="shared" si="0"/>
        <v>2519.2799999999997</v>
      </c>
      <c r="F47" s="8">
        <f t="shared" si="1"/>
        <v>419.88</v>
      </c>
      <c r="G47" s="9">
        <f t="shared" si="5"/>
        <v>2939.16</v>
      </c>
      <c r="H47" s="37">
        <v>3354.2</v>
      </c>
      <c r="I47" s="129"/>
      <c r="J47" s="129">
        <v>70</v>
      </c>
      <c r="K47" s="119"/>
      <c r="L47" s="19"/>
      <c r="M47" s="13">
        <f t="shared" si="6"/>
        <v>825.80000000000018</v>
      </c>
      <c r="N47" s="14">
        <f t="shared" si="2"/>
        <v>4180</v>
      </c>
      <c r="O47" s="5">
        <v>0.03</v>
      </c>
      <c r="P47" s="33">
        <f t="shared" si="3"/>
        <v>82.580000000000027</v>
      </c>
      <c r="Q47" s="33">
        <f t="shared" si="4"/>
        <v>89.186400000000035</v>
      </c>
    </row>
    <row r="48" spans="1:17" x14ac:dyDescent="0.25">
      <c r="A48" s="5">
        <v>293</v>
      </c>
      <c r="B48" s="6" t="s">
        <v>89</v>
      </c>
      <c r="C48" s="7">
        <v>4000</v>
      </c>
      <c r="D48" s="7">
        <v>419.88</v>
      </c>
      <c r="E48" s="8">
        <f t="shared" si="0"/>
        <v>2519.2799999999997</v>
      </c>
      <c r="F48" s="8">
        <f t="shared" si="1"/>
        <v>419.88</v>
      </c>
      <c r="G48" s="9">
        <f t="shared" si="5"/>
        <v>2939.16</v>
      </c>
      <c r="H48" s="37">
        <v>3354.2</v>
      </c>
      <c r="I48" s="129"/>
      <c r="J48" s="129"/>
      <c r="K48" s="119"/>
      <c r="L48" s="12"/>
      <c r="M48" s="13">
        <f t="shared" si="6"/>
        <v>645.80000000000018</v>
      </c>
      <c r="N48" s="14">
        <f t="shared" si="2"/>
        <v>4000</v>
      </c>
      <c r="O48" s="5">
        <v>0.03</v>
      </c>
      <c r="P48" s="33">
        <f t="shared" si="3"/>
        <v>64.580000000000027</v>
      </c>
      <c r="Q48" s="33">
        <f t="shared" si="4"/>
        <v>69.746400000000037</v>
      </c>
    </row>
    <row r="49" spans="1:17" x14ac:dyDescent="0.25">
      <c r="A49" s="5">
        <v>294</v>
      </c>
      <c r="B49" s="6" t="s">
        <v>91</v>
      </c>
      <c r="C49" s="7">
        <v>4000</v>
      </c>
      <c r="D49" s="7">
        <v>419.88</v>
      </c>
      <c r="E49" s="8">
        <f t="shared" si="0"/>
        <v>2519.2799999999997</v>
      </c>
      <c r="F49" s="8">
        <f t="shared" si="1"/>
        <v>419.88</v>
      </c>
      <c r="G49" s="9">
        <f t="shared" si="5"/>
        <v>2939.16</v>
      </c>
      <c r="H49" s="37">
        <v>3354.4</v>
      </c>
      <c r="I49" s="129">
        <v>375</v>
      </c>
      <c r="J49" s="129"/>
      <c r="K49" s="120"/>
      <c r="L49" s="12"/>
      <c r="M49" s="13">
        <f t="shared" si="6"/>
        <v>270.59999999999991</v>
      </c>
      <c r="N49" s="14">
        <f t="shared" si="2"/>
        <v>3625</v>
      </c>
      <c r="O49" s="5">
        <v>0.03</v>
      </c>
      <c r="P49" s="33">
        <f t="shared" si="3"/>
        <v>27.059999999999992</v>
      </c>
      <c r="Q49" s="33">
        <f t="shared" si="4"/>
        <v>29.224799999999991</v>
      </c>
    </row>
    <row r="50" spans="1:17" x14ac:dyDescent="0.25">
      <c r="A50" s="5">
        <v>298</v>
      </c>
      <c r="B50" s="6" t="s">
        <v>115</v>
      </c>
      <c r="C50" s="7">
        <v>5000</v>
      </c>
      <c r="D50" s="7">
        <v>419.88</v>
      </c>
      <c r="E50" s="8">
        <f t="shared" si="0"/>
        <v>2519.2799999999997</v>
      </c>
      <c r="F50" s="8">
        <f t="shared" si="1"/>
        <v>419.88</v>
      </c>
      <c r="G50" s="9">
        <f t="shared" si="5"/>
        <v>2939.16</v>
      </c>
      <c r="H50" s="37">
        <v>1807.8</v>
      </c>
      <c r="I50" s="129">
        <v>225</v>
      </c>
      <c r="J50" s="129">
        <v>70</v>
      </c>
      <c r="K50" s="123">
        <f>1461.5</f>
        <v>1461.5</v>
      </c>
      <c r="L50" s="12"/>
      <c r="M50" s="22">
        <f t="shared" si="6"/>
        <v>1435.6999999999998</v>
      </c>
      <c r="N50" s="14">
        <f t="shared" si="2"/>
        <v>3243.5</v>
      </c>
      <c r="O50" s="5">
        <v>0.03</v>
      </c>
      <c r="P50" s="33">
        <f t="shared" si="3"/>
        <v>143.57</v>
      </c>
      <c r="Q50" s="33">
        <f t="shared" si="4"/>
        <v>155.0556</v>
      </c>
    </row>
    <row r="51" spans="1:17" s="55" customFormat="1" x14ac:dyDescent="0.25">
      <c r="A51" s="5">
        <v>300</v>
      </c>
      <c r="B51" s="6" t="s">
        <v>121</v>
      </c>
      <c r="C51" s="7">
        <v>6250</v>
      </c>
      <c r="D51" s="7">
        <v>419.88</v>
      </c>
      <c r="E51" s="8">
        <f t="shared" si="0"/>
        <v>2519.2799999999997</v>
      </c>
      <c r="F51" s="8">
        <f t="shared" si="1"/>
        <v>419.88</v>
      </c>
      <c r="G51" s="9">
        <f t="shared" si="5"/>
        <v>2939.16</v>
      </c>
      <c r="H51" s="37">
        <v>3354.2</v>
      </c>
      <c r="I51" s="129"/>
      <c r="J51" s="129"/>
      <c r="K51" s="119"/>
      <c r="L51" s="12"/>
      <c r="M51" s="22">
        <f t="shared" si="6"/>
        <v>2895.8</v>
      </c>
      <c r="N51" s="14">
        <f t="shared" si="2"/>
        <v>6250</v>
      </c>
      <c r="O51" s="5">
        <v>0.03</v>
      </c>
      <c r="P51" s="33">
        <f t="shared" si="3"/>
        <v>289.58000000000004</v>
      </c>
      <c r="Q51" s="33">
        <f t="shared" si="4"/>
        <v>312.74640000000005</v>
      </c>
    </row>
    <row r="52" spans="1:17" s="55" customFormat="1" x14ac:dyDescent="0.25">
      <c r="A52" s="5">
        <v>301</v>
      </c>
      <c r="B52" s="6" t="s">
        <v>124</v>
      </c>
      <c r="C52" s="7">
        <v>5000</v>
      </c>
      <c r="D52" s="7">
        <v>419.88</v>
      </c>
      <c r="E52" s="8">
        <f t="shared" si="0"/>
        <v>2519.2799999999997</v>
      </c>
      <c r="F52" s="8">
        <f t="shared" si="1"/>
        <v>419.88</v>
      </c>
      <c r="G52" s="9">
        <f t="shared" si="5"/>
        <v>2939.16</v>
      </c>
      <c r="H52" s="37">
        <v>3354.2</v>
      </c>
      <c r="I52" s="129"/>
      <c r="J52" s="129"/>
      <c r="K52" s="119"/>
      <c r="L52" s="12"/>
      <c r="M52" s="22">
        <f t="shared" si="6"/>
        <v>1645.8000000000002</v>
      </c>
      <c r="N52" s="14">
        <f t="shared" si="2"/>
        <v>5000</v>
      </c>
      <c r="O52" s="5">
        <v>0.03</v>
      </c>
      <c r="P52" s="33">
        <f t="shared" si="3"/>
        <v>164.58000000000004</v>
      </c>
      <c r="Q52" s="33">
        <f t="shared" si="4"/>
        <v>177.74640000000005</v>
      </c>
    </row>
    <row r="53" spans="1:17" s="55" customFormat="1" x14ac:dyDescent="0.25">
      <c r="A53" s="5">
        <v>302</v>
      </c>
      <c r="B53" s="130" t="s">
        <v>128</v>
      </c>
      <c r="C53" s="7">
        <v>5000</v>
      </c>
      <c r="D53" s="7">
        <v>419.88</v>
      </c>
      <c r="E53" s="8">
        <f t="shared" si="0"/>
        <v>2519.2799999999997</v>
      </c>
      <c r="F53" s="8">
        <f t="shared" si="1"/>
        <v>419.88</v>
      </c>
      <c r="G53" s="9">
        <f t="shared" si="5"/>
        <v>2939.16</v>
      </c>
      <c r="H53" s="37">
        <v>0</v>
      </c>
      <c r="I53" s="129"/>
      <c r="J53" s="129"/>
      <c r="K53" s="119">
        <v>5000</v>
      </c>
      <c r="L53" s="12">
        <v>1915.87</v>
      </c>
      <c r="M53" s="22">
        <f t="shared" si="6"/>
        <v>1915.87</v>
      </c>
      <c r="N53" s="14">
        <f t="shared" si="2"/>
        <v>1915.87</v>
      </c>
      <c r="O53" s="5">
        <v>0.03</v>
      </c>
      <c r="P53" s="33">
        <f t="shared" si="3"/>
        <v>191.58699999999999</v>
      </c>
      <c r="Q53" s="33">
        <f t="shared" si="4"/>
        <v>206.91396</v>
      </c>
    </row>
    <row r="54" spans="1:17" s="55" customFormat="1" x14ac:dyDescent="0.25">
      <c r="A54" s="5">
        <v>303</v>
      </c>
      <c r="B54" s="6" t="s">
        <v>129</v>
      </c>
      <c r="C54" s="7">
        <v>4000</v>
      </c>
      <c r="D54" s="7">
        <v>419.88</v>
      </c>
      <c r="E54" s="8">
        <f t="shared" si="0"/>
        <v>2519.2799999999997</v>
      </c>
      <c r="F54" s="8">
        <f t="shared" si="1"/>
        <v>419.88</v>
      </c>
      <c r="G54" s="9">
        <f t="shared" si="5"/>
        <v>2939.16</v>
      </c>
      <c r="H54" s="37">
        <v>3354.2</v>
      </c>
      <c r="I54" s="129">
        <v>375</v>
      </c>
      <c r="J54" s="129">
        <v>70</v>
      </c>
      <c r="K54" s="119"/>
      <c r="L54" s="12"/>
      <c r="M54" s="22">
        <f>C54-H54-I54+L54-K54-J54</f>
        <v>200.80000000000018</v>
      </c>
      <c r="N54" s="14">
        <f t="shared" si="2"/>
        <v>3555</v>
      </c>
      <c r="O54" s="5">
        <v>0.03</v>
      </c>
      <c r="P54" s="33">
        <f t="shared" si="3"/>
        <v>20.08000000000002</v>
      </c>
      <c r="Q54" s="33">
        <f t="shared" si="4"/>
        <v>21.686400000000024</v>
      </c>
    </row>
    <row r="55" spans="1:17" s="55" customFormat="1" x14ac:dyDescent="0.25">
      <c r="A55" s="5">
        <v>304</v>
      </c>
      <c r="B55" s="6" t="s">
        <v>131</v>
      </c>
      <c r="C55" s="7">
        <v>4500</v>
      </c>
      <c r="D55" s="7">
        <v>419.88</v>
      </c>
      <c r="E55" s="8">
        <f t="shared" si="0"/>
        <v>2519.2799999999997</v>
      </c>
      <c r="F55" s="8">
        <f t="shared" si="1"/>
        <v>419.88</v>
      </c>
      <c r="G55" s="9">
        <f t="shared" si="5"/>
        <v>2939.16</v>
      </c>
      <c r="H55" s="37">
        <v>3354.2</v>
      </c>
      <c r="I55" s="129">
        <v>150</v>
      </c>
      <c r="J55" s="129">
        <v>70</v>
      </c>
      <c r="K55" s="119"/>
      <c r="L55" s="12"/>
      <c r="M55" s="22">
        <f>C55-H55-I55+L55-K55-J55</f>
        <v>925.80000000000018</v>
      </c>
      <c r="N55" s="14">
        <f t="shared" si="2"/>
        <v>4280</v>
      </c>
      <c r="O55" s="5">
        <v>0.03</v>
      </c>
      <c r="P55" s="33">
        <f t="shared" si="3"/>
        <v>92.580000000000027</v>
      </c>
      <c r="Q55" s="33">
        <f t="shared" si="4"/>
        <v>99.986400000000032</v>
      </c>
    </row>
    <row r="56" spans="1:17" s="55" customFormat="1" x14ac:dyDescent="0.25">
      <c r="A56" s="5">
        <v>306</v>
      </c>
      <c r="B56" s="6" t="s">
        <v>136</v>
      </c>
      <c r="C56" s="7">
        <v>4000</v>
      </c>
      <c r="D56" s="7">
        <v>419.88</v>
      </c>
      <c r="E56" s="8">
        <f t="shared" si="0"/>
        <v>2519.2799999999997</v>
      </c>
      <c r="F56" s="8">
        <f>$D56</f>
        <v>419.88</v>
      </c>
      <c r="G56" s="9">
        <f t="shared" si="5"/>
        <v>2939.16</v>
      </c>
      <c r="H56" s="115">
        <v>3120.2</v>
      </c>
      <c r="I56" s="129">
        <v>375</v>
      </c>
      <c r="J56" s="129">
        <v>70</v>
      </c>
      <c r="K56" s="119">
        <v>293.92</v>
      </c>
      <c r="L56" s="12"/>
      <c r="M56" s="22">
        <f t="shared" ref="M56:M65" si="7">C56-H56-I56+L56-K56-J56</f>
        <v>140.88000000000017</v>
      </c>
      <c r="N56" s="14">
        <f t="shared" si="2"/>
        <v>3261.08</v>
      </c>
      <c r="O56" s="5">
        <v>0.03</v>
      </c>
      <c r="P56" s="33">
        <f t="shared" si="3"/>
        <v>14.088000000000017</v>
      </c>
      <c r="Q56" s="33">
        <f t="shared" si="4"/>
        <v>15.21504000000002</v>
      </c>
    </row>
    <row r="57" spans="1:17" s="55" customFormat="1" x14ac:dyDescent="0.25">
      <c r="A57" s="5">
        <v>307</v>
      </c>
      <c r="B57" s="6" t="s">
        <v>140</v>
      </c>
      <c r="C57" s="7">
        <v>4000</v>
      </c>
      <c r="D57" s="7">
        <v>419.88</v>
      </c>
      <c r="E57" s="8">
        <f t="shared" si="0"/>
        <v>2519.2799999999997</v>
      </c>
      <c r="F57" s="8">
        <f t="shared" si="1"/>
        <v>419.88</v>
      </c>
      <c r="G57" s="9">
        <f t="shared" si="5"/>
        <v>2939.16</v>
      </c>
      <c r="H57" s="115">
        <v>3354.2</v>
      </c>
      <c r="I57" s="129">
        <v>375</v>
      </c>
      <c r="J57" s="129">
        <v>140</v>
      </c>
      <c r="K57" s="119"/>
      <c r="L57" s="12"/>
      <c r="M57" s="22">
        <f t="shared" si="7"/>
        <v>130.80000000000018</v>
      </c>
      <c r="N57" s="14">
        <f t="shared" si="2"/>
        <v>3485</v>
      </c>
      <c r="O57" s="5">
        <v>0.03</v>
      </c>
      <c r="P57" s="33">
        <f t="shared" si="3"/>
        <v>13.08000000000002</v>
      </c>
      <c r="Q57" s="33">
        <f t="shared" si="4"/>
        <v>14.126400000000022</v>
      </c>
    </row>
    <row r="58" spans="1:17" s="55" customFormat="1" x14ac:dyDescent="0.25">
      <c r="A58" s="5">
        <v>308</v>
      </c>
      <c r="B58" s="6" t="s">
        <v>138</v>
      </c>
      <c r="C58" s="7">
        <v>2700</v>
      </c>
      <c r="D58" s="7">
        <v>420.88</v>
      </c>
      <c r="E58" s="8">
        <f t="shared" si="0"/>
        <v>2525.2799999999997</v>
      </c>
      <c r="F58" s="8">
        <f t="shared" si="1"/>
        <v>420.88</v>
      </c>
      <c r="G58" s="9">
        <f t="shared" si="5"/>
        <v>2946.16</v>
      </c>
      <c r="H58" s="115">
        <v>2560</v>
      </c>
      <c r="I58" s="129"/>
      <c r="J58" s="129">
        <v>140</v>
      </c>
      <c r="K58" s="119"/>
      <c r="L58" s="12"/>
      <c r="M58" s="22">
        <f t="shared" si="7"/>
        <v>0</v>
      </c>
      <c r="N58" s="14">
        <f t="shared" si="2"/>
        <v>2560</v>
      </c>
      <c r="O58" s="5">
        <v>0.03</v>
      </c>
      <c r="P58" s="33">
        <f t="shared" si="3"/>
        <v>0</v>
      </c>
      <c r="Q58" s="33">
        <f t="shared" si="4"/>
        <v>0</v>
      </c>
    </row>
    <row r="59" spans="1:17" s="55" customFormat="1" x14ac:dyDescent="0.25">
      <c r="A59" s="5">
        <v>309</v>
      </c>
      <c r="B59" s="6" t="s">
        <v>143</v>
      </c>
      <c r="C59" s="7">
        <v>4000</v>
      </c>
      <c r="D59" s="7">
        <v>419.88</v>
      </c>
      <c r="E59" s="8">
        <f t="shared" si="0"/>
        <v>2519.2799999999997</v>
      </c>
      <c r="F59" s="8">
        <f t="shared" si="1"/>
        <v>419.88</v>
      </c>
      <c r="G59" s="9">
        <f t="shared" si="5"/>
        <v>2939.16</v>
      </c>
      <c r="H59" s="115">
        <v>3354.2</v>
      </c>
      <c r="I59" s="129">
        <v>225</v>
      </c>
      <c r="J59" s="129">
        <v>35</v>
      </c>
      <c r="K59" s="119"/>
      <c r="L59" s="12"/>
      <c r="M59" s="22">
        <f t="shared" si="7"/>
        <v>385.80000000000018</v>
      </c>
      <c r="N59" s="14">
        <f t="shared" si="2"/>
        <v>3740</v>
      </c>
      <c r="O59" s="5">
        <v>0.03</v>
      </c>
      <c r="P59" s="33">
        <f t="shared" si="3"/>
        <v>38.58000000000002</v>
      </c>
      <c r="Q59" s="33">
        <f t="shared" si="4"/>
        <v>41.666400000000024</v>
      </c>
    </row>
    <row r="60" spans="1:17" s="55" customFormat="1" x14ac:dyDescent="0.25">
      <c r="A60" s="5">
        <v>310</v>
      </c>
      <c r="B60" s="6" t="s">
        <v>147</v>
      </c>
      <c r="C60" s="7">
        <v>5000</v>
      </c>
      <c r="D60" s="7">
        <v>419.88</v>
      </c>
      <c r="E60" s="8">
        <f t="shared" si="0"/>
        <v>2519.2799999999997</v>
      </c>
      <c r="F60" s="8">
        <f t="shared" si="1"/>
        <v>419.88</v>
      </c>
      <c r="G60" s="9">
        <f t="shared" si="5"/>
        <v>2939.16</v>
      </c>
      <c r="H60" s="115">
        <v>3354.4</v>
      </c>
      <c r="I60" s="129">
        <v>375</v>
      </c>
      <c r="J60" s="129">
        <v>140</v>
      </c>
      <c r="K60" s="119"/>
      <c r="L60" s="12"/>
      <c r="M60" s="22">
        <f t="shared" si="7"/>
        <v>1130.5999999999999</v>
      </c>
      <c r="N60" s="14">
        <f t="shared" ref="N60:N65" si="8">H60+M60</f>
        <v>4485</v>
      </c>
      <c r="O60" s="5">
        <v>0.03</v>
      </c>
      <c r="P60" s="33">
        <f t="shared" si="3"/>
        <v>113.06</v>
      </c>
      <c r="Q60" s="33">
        <f t="shared" si="4"/>
        <v>122.10480000000001</v>
      </c>
    </row>
    <row r="61" spans="1:17" s="55" customFormat="1" x14ac:dyDescent="0.25">
      <c r="A61" s="5">
        <v>311</v>
      </c>
      <c r="B61" s="6" t="s">
        <v>149</v>
      </c>
      <c r="C61" s="7">
        <v>4000</v>
      </c>
      <c r="D61" s="7">
        <v>419.88</v>
      </c>
      <c r="E61" s="8">
        <f t="shared" si="0"/>
        <v>2519.2799999999997</v>
      </c>
      <c r="F61" s="8">
        <f t="shared" si="1"/>
        <v>419.88</v>
      </c>
      <c r="G61" s="9">
        <f t="shared" si="5"/>
        <v>2939.16</v>
      </c>
      <c r="H61" s="115">
        <v>3354.2</v>
      </c>
      <c r="I61" s="129"/>
      <c r="J61" s="129"/>
      <c r="K61" s="119"/>
      <c r="L61" s="12"/>
      <c r="M61" s="22">
        <f t="shared" si="7"/>
        <v>645.80000000000018</v>
      </c>
      <c r="N61" s="14">
        <f t="shared" si="8"/>
        <v>4000</v>
      </c>
      <c r="O61" s="5">
        <v>0.03</v>
      </c>
      <c r="P61" s="33">
        <f t="shared" si="3"/>
        <v>64.580000000000027</v>
      </c>
      <c r="Q61" s="33">
        <f t="shared" si="4"/>
        <v>69.746400000000037</v>
      </c>
    </row>
    <row r="62" spans="1:17" s="55" customFormat="1" x14ac:dyDescent="0.25">
      <c r="A62" s="5">
        <v>312</v>
      </c>
      <c r="B62" s="6" t="s">
        <v>151</v>
      </c>
      <c r="C62" s="7">
        <v>4000</v>
      </c>
      <c r="D62" s="7">
        <v>419.88</v>
      </c>
      <c r="E62" s="8">
        <f t="shared" si="0"/>
        <v>2519.2799999999997</v>
      </c>
      <c r="F62" s="8">
        <f t="shared" si="1"/>
        <v>419.88</v>
      </c>
      <c r="G62" s="9">
        <f t="shared" si="5"/>
        <v>2939.16</v>
      </c>
      <c r="H62" s="127">
        <v>3354.4</v>
      </c>
      <c r="I62" s="129"/>
      <c r="J62" s="129"/>
      <c r="K62" s="119"/>
      <c r="L62" s="12"/>
      <c r="M62" s="22">
        <f t="shared" si="7"/>
        <v>645.59999999999991</v>
      </c>
      <c r="N62" s="14">
        <f t="shared" si="8"/>
        <v>4000</v>
      </c>
      <c r="O62" s="5">
        <v>0.03</v>
      </c>
      <c r="P62" s="33">
        <f>+M62*0.1</f>
        <v>64.559999999999988</v>
      </c>
      <c r="Q62" s="33">
        <f t="shared" si="4"/>
        <v>69.724799999999988</v>
      </c>
    </row>
    <row r="63" spans="1:17" s="55" customFormat="1" x14ac:dyDescent="0.25">
      <c r="A63" s="5">
        <v>313</v>
      </c>
      <c r="B63" s="6" t="s">
        <v>152</v>
      </c>
      <c r="C63" s="7">
        <v>3500</v>
      </c>
      <c r="D63" s="7">
        <v>419.88</v>
      </c>
      <c r="E63" s="8">
        <f t="shared" si="0"/>
        <v>2519.2799999999997</v>
      </c>
      <c r="F63" s="8">
        <f t="shared" si="1"/>
        <v>419.88</v>
      </c>
      <c r="G63" s="9">
        <f t="shared" si="5"/>
        <v>2939.16</v>
      </c>
      <c r="H63" s="127">
        <v>3350</v>
      </c>
      <c r="I63" s="129">
        <v>150</v>
      </c>
      <c r="J63" s="129"/>
      <c r="K63" s="119"/>
      <c r="L63" s="12"/>
      <c r="M63" s="22">
        <f t="shared" si="7"/>
        <v>0</v>
      </c>
      <c r="N63" s="14">
        <f t="shared" si="8"/>
        <v>3350</v>
      </c>
      <c r="O63" s="5">
        <v>0.03</v>
      </c>
      <c r="P63" s="33">
        <f>+M63*0.1</f>
        <v>0</v>
      </c>
      <c r="Q63" s="33">
        <f t="shared" si="4"/>
        <v>0</v>
      </c>
    </row>
    <row r="64" spans="1:17" s="55" customFormat="1" x14ac:dyDescent="0.25">
      <c r="A64" s="5">
        <v>314</v>
      </c>
      <c r="B64" s="6" t="s">
        <v>154</v>
      </c>
      <c r="C64" s="7">
        <v>7500</v>
      </c>
      <c r="D64" s="7">
        <v>419.88</v>
      </c>
      <c r="E64" s="8">
        <f t="shared" si="0"/>
        <v>2519.2799999999997</v>
      </c>
      <c r="F64" s="8">
        <f t="shared" si="1"/>
        <v>419.88</v>
      </c>
      <c r="G64" s="9">
        <f t="shared" si="5"/>
        <v>2939.16</v>
      </c>
      <c r="H64" s="127">
        <v>3354.2</v>
      </c>
      <c r="I64" s="129"/>
      <c r="J64" s="129"/>
      <c r="K64" s="119"/>
      <c r="L64" s="12"/>
      <c r="M64" s="22">
        <f t="shared" si="7"/>
        <v>4145.8</v>
      </c>
      <c r="N64" s="14">
        <f t="shared" si="8"/>
        <v>7500</v>
      </c>
      <c r="O64" s="5">
        <v>0.03</v>
      </c>
      <c r="P64" s="33">
        <f>+M64*0.1</f>
        <v>414.58000000000004</v>
      </c>
      <c r="Q64" s="33">
        <f t="shared" si="4"/>
        <v>447.74640000000005</v>
      </c>
    </row>
    <row r="65" spans="1:17" s="55" customFormat="1" x14ac:dyDescent="0.25">
      <c r="A65" s="5">
        <v>315</v>
      </c>
      <c r="B65" s="6" t="s">
        <v>155</v>
      </c>
      <c r="C65" s="7">
        <v>3500</v>
      </c>
      <c r="D65" s="7">
        <v>419.88</v>
      </c>
      <c r="E65" s="8">
        <f t="shared" si="0"/>
        <v>2519.2799999999997</v>
      </c>
      <c r="F65" s="8">
        <f t="shared" si="1"/>
        <v>419.88</v>
      </c>
      <c r="G65" s="9">
        <f t="shared" si="5"/>
        <v>2939.16</v>
      </c>
      <c r="H65" s="127">
        <v>3354.2</v>
      </c>
      <c r="I65" s="129"/>
      <c r="J65" s="129"/>
      <c r="K65" s="119"/>
      <c r="L65" s="12"/>
      <c r="M65" s="22">
        <f t="shared" si="7"/>
        <v>145.80000000000018</v>
      </c>
      <c r="N65" s="14">
        <f t="shared" si="8"/>
        <v>3500</v>
      </c>
      <c r="O65" s="5">
        <v>0.03</v>
      </c>
      <c r="P65" s="33">
        <f>+M65*0.1</f>
        <v>14.58000000000002</v>
      </c>
      <c r="Q65" s="33">
        <f t="shared" si="4"/>
        <v>15.746400000000023</v>
      </c>
    </row>
    <row r="66" spans="1:17" s="55" customFormat="1" ht="16.149999999999999" customHeight="1" thickBot="1" x14ac:dyDescent="0.3">
      <c r="A66"/>
      <c r="B66"/>
      <c r="C66"/>
      <c r="D66"/>
      <c r="E66"/>
      <c r="F66"/>
      <c r="G66"/>
      <c r="H66" s="117"/>
      <c r="I66"/>
      <c r="J66"/>
      <c r="K66"/>
      <c r="L66"/>
      <c r="M66"/>
      <c r="N66"/>
      <c r="O66"/>
      <c r="P66"/>
      <c r="Q66"/>
    </row>
    <row r="67" spans="1:17" ht="18" thickBot="1" x14ac:dyDescent="0.35">
      <c r="A67" s="23"/>
      <c r="B67" s="24"/>
      <c r="C67" s="25">
        <f t="shared" ref="C67:N67" si="9">SUM(C4:C66)</f>
        <v>308575</v>
      </c>
      <c r="D67" s="25">
        <f t="shared" si="9"/>
        <v>26033.560000000009</v>
      </c>
      <c r="E67" s="25">
        <f t="shared" si="9"/>
        <v>156201.35999999996</v>
      </c>
      <c r="F67" s="25">
        <f t="shared" si="9"/>
        <v>26033.560000000009</v>
      </c>
      <c r="G67" s="25">
        <f t="shared" si="9"/>
        <v>182234.92000000016</v>
      </c>
      <c r="H67" s="118">
        <f>SUM(H4:H66)</f>
        <v>195331.80000000005</v>
      </c>
      <c r="I67" s="26">
        <f t="shared" si="9"/>
        <v>9225</v>
      </c>
      <c r="J67" s="26">
        <f t="shared" si="9"/>
        <v>2730</v>
      </c>
      <c r="K67" s="26">
        <f t="shared" si="9"/>
        <v>15873.25</v>
      </c>
      <c r="L67" s="27">
        <f t="shared" si="9"/>
        <v>10058.720000000001</v>
      </c>
      <c r="M67" s="25">
        <f t="shared" si="9"/>
        <v>95473.790000000066</v>
      </c>
      <c r="N67" s="25">
        <f t="shared" si="9"/>
        <v>290805.58999999997</v>
      </c>
      <c r="P67" s="25">
        <f>SUM(P4:P66)</f>
        <v>9547.3790000000008</v>
      </c>
      <c r="Q67" s="25">
        <f>SUM(Q4:Q66)</f>
        <v>10311.169320000001</v>
      </c>
    </row>
    <row r="68" spans="1:17" x14ac:dyDescent="0.25">
      <c r="I68" s="15">
        <f>I67/75</f>
        <v>123</v>
      </c>
      <c r="J68" s="15">
        <f>J67/35</f>
        <v>78</v>
      </c>
    </row>
    <row r="71" spans="1:17" x14ac:dyDescent="0.25">
      <c r="H71"/>
    </row>
  </sheetData>
  <autoFilter ref="A3:Q65" xr:uid="{00000000-0009-0000-0000-000019000000}"/>
  <mergeCells count="2">
    <mergeCell ref="A1:N1"/>
    <mergeCell ref="A2:N2"/>
  </mergeCells>
  <pageMargins left="0.25" right="0.25" top="0.75" bottom="0.75" header="0.3" footer="0.3"/>
  <pageSetup scale="62" fitToHeight="0" orientation="landscape" r:id="rId1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89861-0F6C-4E0A-96AE-25068BC30529}">
  <sheetPr>
    <pageSetUpPr fitToPage="1"/>
  </sheetPr>
  <dimension ref="A1:Q71"/>
  <sheetViews>
    <sheetView showGridLines="0" tabSelected="1" topLeftCell="C48" zoomScaleNormal="100" workbookViewId="0">
      <selection activeCell="O62" sqref="O62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style="117" customWidth="1"/>
    <col min="9" max="14" width="11.42578125" customWidth="1"/>
    <col min="15" max="15" width="8" customWidth="1"/>
    <col min="16" max="17" width="11.42578125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157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116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6</v>
      </c>
      <c r="B4" s="6" t="s">
        <v>14</v>
      </c>
      <c r="C4" s="7">
        <v>4000</v>
      </c>
      <c r="D4" s="7">
        <v>419.88</v>
      </c>
      <c r="E4" s="8">
        <f t="shared" ref="E4:E65" si="0">D4*6</f>
        <v>2519.2799999999997</v>
      </c>
      <c r="F4" s="8">
        <f t="shared" ref="F4:F65" si="1">$D4</f>
        <v>419.88</v>
      </c>
      <c r="G4" s="9">
        <f>E4+F4</f>
        <v>2939.16</v>
      </c>
      <c r="H4" s="37">
        <v>3354.4</v>
      </c>
      <c r="I4" s="129">
        <v>300</v>
      </c>
      <c r="J4" s="129"/>
      <c r="K4" s="119"/>
      <c r="L4" s="19"/>
      <c r="M4" s="13">
        <f>C4-H4-I4+L4-K4-J4</f>
        <v>345.59999999999991</v>
      </c>
      <c r="N4" s="14">
        <f t="shared" ref="N4:N59" si="2">H4+M4</f>
        <v>3700</v>
      </c>
      <c r="O4" s="29" t="s">
        <v>47</v>
      </c>
      <c r="P4" s="33">
        <f t="shared" ref="P4:P61" si="3">+M4*0.1</f>
        <v>34.559999999999995</v>
      </c>
      <c r="Q4" s="33">
        <f t="shared" ref="Q4:Q65" si="4">+P4*1.08</f>
        <v>37.324799999999996</v>
      </c>
    </row>
    <row r="5" spans="1:17" x14ac:dyDescent="0.25">
      <c r="A5" s="36">
        <v>14</v>
      </c>
      <c r="B5" s="6" t="s">
        <v>15</v>
      </c>
      <c r="C5" s="7">
        <v>15000</v>
      </c>
      <c r="D5" s="7">
        <v>419.88</v>
      </c>
      <c r="E5" s="8">
        <f t="shared" si="0"/>
        <v>2519.2799999999997</v>
      </c>
      <c r="F5" s="8">
        <f t="shared" si="1"/>
        <v>419.88</v>
      </c>
      <c r="G5" s="9">
        <f t="shared" ref="G5:G65" si="5">E5+F5</f>
        <v>2939.16</v>
      </c>
      <c r="H5" s="37">
        <v>2601.4</v>
      </c>
      <c r="I5" s="129">
        <v>150</v>
      </c>
      <c r="J5" s="129"/>
      <c r="K5" s="120">
        <v>4285.75</v>
      </c>
      <c r="L5" s="19"/>
      <c r="M5" s="13">
        <f>C5-H5-I5+L5-K5-J5</f>
        <v>7962.85</v>
      </c>
      <c r="N5" s="14">
        <f>H5+M5</f>
        <v>10564.25</v>
      </c>
      <c r="O5" s="30" t="s">
        <v>118</v>
      </c>
      <c r="P5" s="33">
        <f t="shared" si="3"/>
        <v>796.28500000000008</v>
      </c>
      <c r="Q5" s="33">
        <f t="shared" si="4"/>
        <v>859.98780000000011</v>
      </c>
    </row>
    <row r="6" spans="1:17" ht="15" customHeight="1" x14ac:dyDescent="0.25">
      <c r="A6" s="36">
        <v>24</v>
      </c>
      <c r="B6" s="6" t="s">
        <v>16</v>
      </c>
      <c r="C6" s="7">
        <v>5000</v>
      </c>
      <c r="D6" s="7">
        <v>419.88</v>
      </c>
      <c r="E6" s="8">
        <f t="shared" si="0"/>
        <v>2519.2799999999997</v>
      </c>
      <c r="F6" s="8">
        <f t="shared" si="1"/>
        <v>419.88</v>
      </c>
      <c r="G6" s="9">
        <f t="shared" si="5"/>
        <v>2939.16</v>
      </c>
      <c r="H6" s="37">
        <v>3354.2</v>
      </c>
      <c r="I6" s="129">
        <v>225</v>
      </c>
      <c r="J6" s="129">
        <v>35</v>
      </c>
      <c r="K6" s="120"/>
      <c r="L6" s="19"/>
      <c r="M6" s="13">
        <f t="shared" ref="M6:M53" si="6">C6-H6-I6+L6-K6-J6</f>
        <v>1385.8000000000002</v>
      </c>
      <c r="N6" s="14">
        <f t="shared" si="2"/>
        <v>4740</v>
      </c>
      <c r="O6" s="36" t="s">
        <v>118</v>
      </c>
      <c r="P6" s="33">
        <f t="shared" si="3"/>
        <v>138.58000000000001</v>
      </c>
      <c r="Q6" s="33">
        <f t="shared" si="4"/>
        <v>149.66640000000001</v>
      </c>
    </row>
    <row r="7" spans="1:17" x14ac:dyDescent="0.25">
      <c r="A7" s="36">
        <v>43</v>
      </c>
      <c r="B7" s="6" t="s">
        <v>17</v>
      </c>
      <c r="C7" s="7">
        <v>4500</v>
      </c>
      <c r="D7" s="7">
        <v>419.88</v>
      </c>
      <c r="E7" s="8">
        <f t="shared" si="0"/>
        <v>2519.2799999999997</v>
      </c>
      <c r="F7" s="8">
        <f t="shared" si="1"/>
        <v>419.88</v>
      </c>
      <c r="G7" s="9">
        <f t="shared" si="5"/>
        <v>2939.16</v>
      </c>
      <c r="H7" s="37">
        <v>5319.4</v>
      </c>
      <c r="I7" s="129">
        <v>75</v>
      </c>
      <c r="J7" s="129">
        <v>70</v>
      </c>
      <c r="K7" s="119"/>
      <c r="L7" s="12">
        <v>3696.43</v>
      </c>
      <c r="M7" s="13">
        <f t="shared" si="6"/>
        <v>2732.03</v>
      </c>
      <c r="N7" s="14">
        <f t="shared" si="2"/>
        <v>8051.43</v>
      </c>
      <c r="O7" s="30" t="s">
        <v>118</v>
      </c>
      <c r="P7" s="33">
        <f t="shared" si="3"/>
        <v>273.20300000000003</v>
      </c>
      <c r="Q7" s="33">
        <f t="shared" si="4"/>
        <v>295.05924000000005</v>
      </c>
    </row>
    <row r="8" spans="1:17" ht="15.6" customHeight="1" x14ac:dyDescent="0.25">
      <c r="A8" s="36">
        <v>52</v>
      </c>
      <c r="B8" s="6" t="s">
        <v>18</v>
      </c>
      <c r="C8" s="7">
        <v>4000</v>
      </c>
      <c r="D8" s="7">
        <v>419.88</v>
      </c>
      <c r="E8" s="8">
        <f t="shared" si="0"/>
        <v>2519.2799999999997</v>
      </c>
      <c r="F8" s="8">
        <f t="shared" si="1"/>
        <v>419.88</v>
      </c>
      <c r="G8" s="9">
        <f t="shared" si="5"/>
        <v>2939.16</v>
      </c>
      <c r="H8" s="37">
        <v>2840</v>
      </c>
      <c r="I8" s="129">
        <v>225</v>
      </c>
      <c r="J8" s="129">
        <v>105</v>
      </c>
      <c r="K8" s="123">
        <f>280.49+293.92</f>
        <v>574.41000000000008</v>
      </c>
      <c r="L8" s="12"/>
      <c r="M8" s="22">
        <f t="shared" si="6"/>
        <v>255.58999999999992</v>
      </c>
      <c r="N8" s="14">
        <f t="shared" si="2"/>
        <v>3095.59</v>
      </c>
      <c r="O8" s="30" t="s">
        <v>47</v>
      </c>
      <c r="P8" s="33">
        <f t="shared" si="3"/>
        <v>25.558999999999994</v>
      </c>
      <c r="Q8" s="33">
        <f t="shared" si="4"/>
        <v>27.603719999999996</v>
      </c>
    </row>
    <row r="9" spans="1:17" x14ac:dyDescent="0.25">
      <c r="A9" s="5">
        <v>62</v>
      </c>
      <c r="B9" s="17" t="s">
        <v>19</v>
      </c>
      <c r="C9" s="7">
        <v>4000</v>
      </c>
      <c r="D9" s="7">
        <v>419.88</v>
      </c>
      <c r="E9" s="8">
        <f t="shared" si="0"/>
        <v>2519.2799999999997</v>
      </c>
      <c r="F9" s="8">
        <f t="shared" si="1"/>
        <v>419.88</v>
      </c>
      <c r="G9" s="9">
        <f t="shared" si="5"/>
        <v>2939.16</v>
      </c>
      <c r="H9" s="37">
        <v>3354.4</v>
      </c>
      <c r="I9" s="129"/>
      <c r="J9" s="129"/>
      <c r="K9" s="121"/>
      <c r="L9" s="19"/>
      <c r="M9" s="22">
        <f t="shared" si="6"/>
        <v>645.59999999999991</v>
      </c>
      <c r="N9" s="14">
        <f t="shared" si="2"/>
        <v>4000</v>
      </c>
      <c r="O9" s="30" t="s">
        <v>49</v>
      </c>
      <c r="P9" s="33">
        <f t="shared" si="3"/>
        <v>64.559999999999988</v>
      </c>
      <c r="Q9" s="33">
        <f t="shared" si="4"/>
        <v>69.724799999999988</v>
      </c>
    </row>
    <row r="10" spans="1:17" x14ac:dyDescent="0.25">
      <c r="A10" s="5">
        <v>109</v>
      </c>
      <c r="B10" s="17" t="s">
        <v>20</v>
      </c>
      <c r="C10" s="7">
        <v>7000</v>
      </c>
      <c r="D10" s="7">
        <v>419.88</v>
      </c>
      <c r="E10" s="8">
        <f t="shared" si="0"/>
        <v>2519.2799999999997</v>
      </c>
      <c r="F10" s="8">
        <f t="shared" si="1"/>
        <v>419.88</v>
      </c>
      <c r="G10" s="9">
        <f t="shared" si="5"/>
        <v>2939.16</v>
      </c>
      <c r="H10" s="37">
        <v>3354.2</v>
      </c>
      <c r="I10" s="129">
        <v>150</v>
      </c>
      <c r="J10" s="129">
        <v>70</v>
      </c>
      <c r="K10" s="119"/>
      <c r="L10" s="12"/>
      <c r="M10" s="13">
        <f t="shared" si="6"/>
        <v>3425.8</v>
      </c>
      <c r="N10" s="14">
        <f t="shared" si="2"/>
        <v>6780</v>
      </c>
      <c r="O10" s="30" t="s">
        <v>118</v>
      </c>
      <c r="P10" s="33">
        <f t="shared" si="3"/>
        <v>342.58000000000004</v>
      </c>
      <c r="Q10" s="33">
        <f t="shared" si="4"/>
        <v>369.98640000000006</v>
      </c>
    </row>
    <row r="11" spans="1:17" x14ac:dyDescent="0.25">
      <c r="A11" s="5">
        <v>114</v>
      </c>
      <c r="B11" s="17" t="s">
        <v>21</v>
      </c>
      <c r="C11" s="7">
        <v>5000</v>
      </c>
      <c r="D11" s="7">
        <v>419.88</v>
      </c>
      <c r="E11" s="8">
        <f t="shared" si="0"/>
        <v>2519.2799999999997</v>
      </c>
      <c r="F11" s="8">
        <f t="shared" si="1"/>
        <v>419.88</v>
      </c>
      <c r="G11" s="9">
        <f t="shared" si="5"/>
        <v>2939.16</v>
      </c>
      <c r="H11" s="37">
        <v>3354.4</v>
      </c>
      <c r="I11" s="129">
        <v>300</v>
      </c>
      <c r="J11" s="129">
        <v>210</v>
      </c>
      <c r="K11" s="119"/>
      <c r="L11" s="12"/>
      <c r="M11" s="13">
        <f t="shared" si="6"/>
        <v>1135.5999999999999</v>
      </c>
      <c r="N11" s="14">
        <f t="shared" si="2"/>
        <v>4490</v>
      </c>
      <c r="O11" s="30">
        <v>0.03</v>
      </c>
      <c r="P11" s="33">
        <f t="shared" si="3"/>
        <v>113.56</v>
      </c>
      <c r="Q11" s="33">
        <f t="shared" si="4"/>
        <v>122.6448</v>
      </c>
    </row>
    <row r="12" spans="1:17" ht="15" customHeight="1" x14ac:dyDescent="0.25">
      <c r="A12" s="5">
        <v>131</v>
      </c>
      <c r="B12" s="17" t="s">
        <v>22</v>
      </c>
      <c r="C12" s="7">
        <v>3500</v>
      </c>
      <c r="D12" s="7">
        <v>419.88</v>
      </c>
      <c r="E12" s="8">
        <f t="shared" si="0"/>
        <v>2519.2799999999997</v>
      </c>
      <c r="F12" s="8">
        <f t="shared" si="1"/>
        <v>419.88</v>
      </c>
      <c r="G12" s="9">
        <f t="shared" si="5"/>
        <v>2939.16</v>
      </c>
      <c r="H12" s="37">
        <v>3420</v>
      </c>
      <c r="I12" s="129">
        <v>225</v>
      </c>
      <c r="J12" s="129">
        <v>105</v>
      </c>
      <c r="K12" s="120"/>
      <c r="L12" s="19">
        <v>250</v>
      </c>
      <c r="M12" s="13">
        <f>C12-H12-I12+L12-K12-J12</f>
        <v>0</v>
      </c>
      <c r="N12" s="14">
        <f t="shared" si="2"/>
        <v>3420</v>
      </c>
      <c r="O12" s="30">
        <v>0.03</v>
      </c>
      <c r="P12" s="33">
        <f t="shared" si="3"/>
        <v>0</v>
      </c>
      <c r="Q12" s="33">
        <f t="shared" si="4"/>
        <v>0</v>
      </c>
    </row>
    <row r="13" spans="1:17" x14ac:dyDescent="0.25">
      <c r="A13" s="36">
        <v>149</v>
      </c>
      <c r="B13" s="6" t="s">
        <v>23</v>
      </c>
      <c r="C13" s="7">
        <v>4000</v>
      </c>
      <c r="D13" s="7">
        <v>419.88</v>
      </c>
      <c r="E13" s="8">
        <f t="shared" si="0"/>
        <v>2519.2799999999997</v>
      </c>
      <c r="F13" s="8">
        <f t="shared" si="1"/>
        <v>419.88</v>
      </c>
      <c r="G13" s="9">
        <f t="shared" si="5"/>
        <v>2939.16</v>
      </c>
      <c r="H13" s="37">
        <v>2879</v>
      </c>
      <c r="I13" s="129">
        <v>225</v>
      </c>
      <c r="J13" s="129">
        <v>140</v>
      </c>
      <c r="K13" s="120">
        <v>587.84</v>
      </c>
      <c r="L13" s="19"/>
      <c r="M13" s="22">
        <f>C13-H13-I13+L13-K13-J13</f>
        <v>168.15999999999997</v>
      </c>
      <c r="N13" s="14">
        <f t="shared" si="2"/>
        <v>3047.16</v>
      </c>
      <c r="O13" s="36" t="s">
        <v>50</v>
      </c>
      <c r="P13" s="33">
        <f t="shared" si="3"/>
        <v>16.815999999999999</v>
      </c>
      <c r="Q13" s="33">
        <f t="shared" si="4"/>
        <v>18.161280000000001</v>
      </c>
    </row>
    <row r="14" spans="1:17" x14ac:dyDescent="0.25">
      <c r="A14" s="5">
        <v>150</v>
      </c>
      <c r="B14" s="6" t="s">
        <v>24</v>
      </c>
      <c r="C14" s="7">
        <v>5000</v>
      </c>
      <c r="D14" s="7">
        <v>419.88</v>
      </c>
      <c r="E14" s="8">
        <f t="shared" si="0"/>
        <v>2519.2799999999997</v>
      </c>
      <c r="F14" s="8">
        <f t="shared" si="1"/>
        <v>419.88</v>
      </c>
      <c r="G14" s="9">
        <f t="shared" si="5"/>
        <v>2939.16</v>
      </c>
      <c r="H14" s="37">
        <v>2452</v>
      </c>
      <c r="I14" s="129"/>
      <c r="J14" s="129"/>
      <c r="K14" s="120">
        <v>1428.57</v>
      </c>
      <c r="L14" s="19"/>
      <c r="M14" s="13">
        <f t="shared" si="6"/>
        <v>1119.43</v>
      </c>
      <c r="N14" s="14">
        <f t="shared" si="2"/>
        <v>3571.4300000000003</v>
      </c>
      <c r="O14" s="30" t="s">
        <v>47</v>
      </c>
      <c r="P14" s="33">
        <f t="shared" si="3"/>
        <v>111.94300000000001</v>
      </c>
      <c r="Q14" s="33">
        <f t="shared" si="4"/>
        <v>120.89844000000002</v>
      </c>
    </row>
    <row r="15" spans="1:17" x14ac:dyDescent="0.25">
      <c r="A15" s="5">
        <v>752</v>
      </c>
      <c r="B15" s="6" t="s">
        <v>25</v>
      </c>
      <c r="C15" s="7">
        <v>4500</v>
      </c>
      <c r="D15" s="7">
        <v>419.88</v>
      </c>
      <c r="E15" s="8">
        <f t="shared" si="0"/>
        <v>2519.2799999999997</v>
      </c>
      <c r="F15" s="8">
        <f t="shared" si="1"/>
        <v>419.88</v>
      </c>
      <c r="G15" s="9">
        <f t="shared" si="5"/>
        <v>2939.16</v>
      </c>
      <c r="H15" s="37">
        <v>3354.2</v>
      </c>
      <c r="I15" s="129">
        <v>150</v>
      </c>
      <c r="J15" s="129"/>
      <c r="K15" s="120"/>
      <c r="L15" s="12"/>
      <c r="M15" s="13">
        <f>C15-H15-I15+L15-K15-J15</f>
        <v>995.80000000000018</v>
      </c>
      <c r="N15" s="14">
        <f t="shared" si="2"/>
        <v>4350</v>
      </c>
      <c r="O15" s="29">
        <v>0.03</v>
      </c>
      <c r="P15" s="33">
        <f t="shared" si="3"/>
        <v>99.580000000000027</v>
      </c>
      <c r="Q15" s="33">
        <f t="shared" si="4"/>
        <v>107.54640000000003</v>
      </c>
    </row>
    <row r="16" spans="1:17" s="55" customFormat="1" x14ac:dyDescent="0.25">
      <c r="A16" s="5">
        <v>162</v>
      </c>
      <c r="B16" s="6" t="s">
        <v>27</v>
      </c>
      <c r="C16" s="7">
        <v>4500</v>
      </c>
      <c r="D16" s="7">
        <v>419.88</v>
      </c>
      <c r="E16" s="8">
        <f t="shared" si="0"/>
        <v>2519.2799999999997</v>
      </c>
      <c r="F16" s="8">
        <f t="shared" si="1"/>
        <v>419.88</v>
      </c>
      <c r="G16" s="9">
        <f t="shared" si="5"/>
        <v>2939.16</v>
      </c>
      <c r="H16" s="37">
        <v>2879</v>
      </c>
      <c r="I16" s="129">
        <v>225</v>
      </c>
      <c r="J16" s="129">
        <v>105</v>
      </c>
      <c r="K16" s="120">
        <v>587.84</v>
      </c>
      <c r="L16" s="19"/>
      <c r="M16" s="13">
        <f t="shared" si="6"/>
        <v>703.16</v>
      </c>
      <c r="N16" s="14">
        <f t="shared" si="2"/>
        <v>3582.16</v>
      </c>
      <c r="O16" s="29">
        <v>0.03</v>
      </c>
      <c r="P16" s="33">
        <f t="shared" si="3"/>
        <v>70.316000000000003</v>
      </c>
      <c r="Q16" s="33">
        <f t="shared" si="4"/>
        <v>75.941280000000006</v>
      </c>
    </row>
    <row r="17" spans="1:17" s="55" customFormat="1" x14ac:dyDescent="0.25">
      <c r="A17" s="5">
        <v>174</v>
      </c>
      <c r="B17" s="6" t="s">
        <v>28</v>
      </c>
      <c r="C17" s="7">
        <v>10000</v>
      </c>
      <c r="D17" s="7">
        <v>419.88</v>
      </c>
      <c r="E17" s="8">
        <f t="shared" si="0"/>
        <v>2519.2799999999997</v>
      </c>
      <c r="F17" s="8">
        <f t="shared" si="1"/>
        <v>419.88</v>
      </c>
      <c r="G17" s="9">
        <f t="shared" si="5"/>
        <v>2939.16</v>
      </c>
      <c r="H17" s="37">
        <v>2376</v>
      </c>
      <c r="I17" s="129"/>
      <c r="J17" s="129"/>
      <c r="K17" s="123">
        <v>908.03</v>
      </c>
      <c r="L17" s="12"/>
      <c r="M17" s="13">
        <f t="shared" si="6"/>
        <v>6715.97</v>
      </c>
      <c r="N17" s="14">
        <f t="shared" si="2"/>
        <v>9091.9700000000012</v>
      </c>
      <c r="O17" s="29" t="s">
        <v>50</v>
      </c>
      <c r="P17" s="33">
        <f t="shared" si="3"/>
        <v>671.59700000000009</v>
      </c>
      <c r="Q17" s="33">
        <f t="shared" si="4"/>
        <v>725.3247600000002</v>
      </c>
    </row>
    <row r="18" spans="1:17" s="55" customFormat="1" x14ac:dyDescent="0.25">
      <c r="A18" s="5">
        <v>184</v>
      </c>
      <c r="B18" s="6" t="s">
        <v>29</v>
      </c>
      <c r="C18" s="7">
        <v>8000</v>
      </c>
      <c r="D18" s="7">
        <v>419.88</v>
      </c>
      <c r="E18" s="8">
        <f t="shared" si="0"/>
        <v>2519.2799999999997</v>
      </c>
      <c r="F18" s="8">
        <f t="shared" si="1"/>
        <v>419.88</v>
      </c>
      <c r="G18" s="9">
        <f t="shared" si="5"/>
        <v>2939.16</v>
      </c>
      <c r="H18" s="37">
        <v>3354.4</v>
      </c>
      <c r="I18" s="129">
        <v>300</v>
      </c>
      <c r="J18" s="129">
        <v>105</v>
      </c>
      <c r="K18" s="120"/>
      <c r="L18" s="19"/>
      <c r="M18" s="13">
        <f t="shared" si="6"/>
        <v>4240.6000000000004</v>
      </c>
      <c r="N18" s="14">
        <f t="shared" si="2"/>
        <v>7595</v>
      </c>
      <c r="O18" s="29">
        <v>0.03</v>
      </c>
      <c r="P18" s="33">
        <f t="shared" si="3"/>
        <v>424.06000000000006</v>
      </c>
      <c r="Q18" s="33">
        <f t="shared" si="4"/>
        <v>457.98480000000012</v>
      </c>
    </row>
    <row r="19" spans="1:17" s="55" customFormat="1" ht="13.5" customHeight="1" x14ac:dyDescent="0.25">
      <c r="A19" s="5">
        <v>204</v>
      </c>
      <c r="B19" s="6" t="s">
        <v>33</v>
      </c>
      <c r="C19" s="7">
        <v>5000</v>
      </c>
      <c r="D19" s="7">
        <v>419.88</v>
      </c>
      <c r="E19" s="8">
        <f t="shared" si="0"/>
        <v>2519.2799999999997</v>
      </c>
      <c r="F19" s="8">
        <f t="shared" si="1"/>
        <v>419.88</v>
      </c>
      <c r="G19" s="9">
        <f t="shared" si="5"/>
        <v>2939.16</v>
      </c>
      <c r="H19" s="37">
        <v>3354.2</v>
      </c>
      <c r="I19" s="129">
        <v>150</v>
      </c>
      <c r="J19" s="129">
        <v>35</v>
      </c>
      <c r="K19" s="119"/>
      <c r="L19" s="19"/>
      <c r="M19" s="13">
        <f t="shared" si="6"/>
        <v>1460.8000000000002</v>
      </c>
      <c r="N19" s="14">
        <f t="shared" si="2"/>
        <v>4815</v>
      </c>
      <c r="O19" s="29" t="s">
        <v>118</v>
      </c>
      <c r="P19" s="33">
        <f t="shared" si="3"/>
        <v>146.08000000000001</v>
      </c>
      <c r="Q19" s="33">
        <f t="shared" si="4"/>
        <v>157.76640000000003</v>
      </c>
    </row>
    <row r="20" spans="1:17" s="55" customFormat="1" x14ac:dyDescent="0.25">
      <c r="A20" s="5">
        <v>213</v>
      </c>
      <c r="B20" s="6" t="s">
        <v>34</v>
      </c>
      <c r="C20" s="7">
        <v>4000</v>
      </c>
      <c r="D20" s="7">
        <v>419.88</v>
      </c>
      <c r="E20" s="8">
        <f t="shared" si="0"/>
        <v>2519.2799999999997</v>
      </c>
      <c r="F20" s="8">
        <f t="shared" si="1"/>
        <v>419.88</v>
      </c>
      <c r="G20" s="9">
        <f t="shared" si="5"/>
        <v>2939.16</v>
      </c>
      <c r="H20" s="37">
        <v>3354.2</v>
      </c>
      <c r="I20" s="129"/>
      <c r="J20" s="129"/>
      <c r="K20" s="119"/>
      <c r="L20" s="12"/>
      <c r="M20" s="13">
        <f t="shared" si="6"/>
        <v>645.80000000000018</v>
      </c>
      <c r="N20" s="14">
        <f t="shared" si="2"/>
        <v>4000</v>
      </c>
      <c r="O20" s="29" t="s">
        <v>50</v>
      </c>
      <c r="P20" s="33">
        <f t="shared" si="3"/>
        <v>64.580000000000027</v>
      </c>
      <c r="Q20" s="33">
        <f t="shared" si="4"/>
        <v>69.746400000000037</v>
      </c>
    </row>
    <row r="21" spans="1:17" s="55" customFormat="1" x14ac:dyDescent="0.25">
      <c r="A21" s="5">
        <v>215</v>
      </c>
      <c r="B21" s="6" t="s">
        <v>35</v>
      </c>
      <c r="C21" s="7">
        <v>5000</v>
      </c>
      <c r="D21" s="7">
        <v>419.88</v>
      </c>
      <c r="E21" s="8">
        <f t="shared" si="0"/>
        <v>2519.2799999999997</v>
      </c>
      <c r="F21" s="8">
        <f t="shared" si="1"/>
        <v>419.88</v>
      </c>
      <c r="G21" s="9">
        <f t="shared" si="5"/>
        <v>2939.16</v>
      </c>
      <c r="H21" s="37">
        <v>3354.2</v>
      </c>
      <c r="I21" s="129">
        <v>300</v>
      </c>
      <c r="J21" s="129">
        <v>70</v>
      </c>
      <c r="K21" s="120"/>
      <c r="L21" s="19"/>
      <c r="M21" s="13">
        <f t="shared" si="6"/>
        <v>1275.8000000000002</v>
      </c>
      <c r="N21" s="14">
        <f t="shared" si="2"/>
        <v>4630</v>
      </c>
      <c r="O21" s="29" t="s">
        <v>118</v>
      </c>
      <c r="P21" s="33">
        <f t="shared" si="3"/>
        <v>127.58000000000003</v>
      </c>
      <c r="Q21" s="33">
        <f t="shared" si="4"/>
        <v>137.78640000000004</v>
      </c>
    </row>
    <row r="22" spans="1:17" s="55" customFormat="1" x14ac:dyDescent="0.25">
      <c r="A22" s="5">
        <v>218</v>
      </c>
      <c r="B22" s="6" t="s">
        <v>36</v>
      </c>
      <c r="C22" s="7">
        <v>3500</v>
      </c>
      <c r="D22" s="7">
        <v>419.88</v>
      </c>
      <c r="E22" s="8">
        <f t="shared" si="0"/>
        <v>2519.2799999999997</v>
      </c>
      <c r="F22" s="8">
        <f t="shared" si="1"/>
        <v>419.88</v>
      </c>
      <c r="G22" s="9">
        <f t="shared" si="5"/>
        <v>2939.16</v>
      </c>
      <c r="H22" s="37">
        <v>3354.4</v>
      </c>
      <c r="I22" s="129"/>
      <c r="J22" s="129"/>
      <c r="K22" s="122"/>
      <c r="L22" s="12"/>
      <c r="M22" s="13">
        <f t="shared" si="6"/>
        <v>145.59999999999991</v>
      </c>
      <c r="N22" s="14">
        <f t="shared" si="2"/>
        <v>3500</v>
      </c>
      <c r="O22" s="29" t="s">
        <v>49</v>
      </c>
      <c r="P22" s="33">
        <f t="shared" si="3"/>
        <v>14.559999999999992</v>
      </c>
      <c r="Q22" s="33">
        <f t="shared" si="4"/>
        <v>15.724799999999991</v>
      </c>
    </row>
    <row r="23" spans="1:17" s="55" customFormat="1" x14ac:dyDescent="0.25">
      <c r="A23" s="36">
        <v>220</v>
      </c>
      <c r="B23" s="6" t="s">
        <v>37</v>
      </c>
      <c r="C23" s="7">
        <v>4000</v>
      </c>
      <c r="D23" s="7">
        <v>419.88</v>
      </c>
      <c r="E23" s="8">
        <f t="shared" si="0"/>
        <v>2519.2799999999997</v>
      </c>
      <c r="F23" s="8">
        <f t="shared" si="1"/>
        <v>419.88</v>
      </c>
      <c r="G23" s="9">
        <f t="shared" si="5"/>
        <v>2939.16</v>
      </c>
      <c r="H23" s="37">
        <v>2268.6</v>
      </c>
      <c r="I23" s="129">
        <v>300</v>
      </c>
      <c r="J23" s="129">
        <v>105</v>
      </c>
      <c r="K23" s="123">
        <f>610.33+587.84</f>
        <v>1198.17</v>
      </c>
      <c r="L23" s="12"/>
      <c r="M23" s="22">
        <f>C23-H23-I23+L23-K23-J23</f>
        <v>128.23000000000002</v>
      </c>
      <c r="N23" s="14">
        <f t="shared" si="2"/>
        <v>2396.83</v>
      </c>
      <c r="O23" s="36">
        <v>0.03</v>
      </c>
      <c r="P23" s="33">
        <f t="shared" si="3"/>
        <v>12.823000000000002</v>
      </c>
      <c r="Q23" s="33">
        <f t="shared" si="4"/>
        <v>13.848840000000003</v>
      </c>
    </row>
    <row r="24" spans="1:17" s="55" customFormat="1" x14ac:dyDescent="0.25">
      <c r="A24" s="5">
        <v>221</v>
      </c>
      <c r="B24" s="6" t="s">
        <v>38</v>
      </c>
      <c r="C24" s="7">
        <v>5000</v>
      </c>
      <c r="D24" s="7">
        <v>419.88</v>
      </c>
      <c r="E24" s="8">
        <f t="shared" si="0"/>
        <v>2519.2799999999997</v>
      </c>
      <c r="F24" s="8">
        <f t="shared" si="1"/>
        <v>419.88</v>
      </c>
      <c r="G24" s="9">
        <f t="shared" si="5"/>
        <v>2939.16</v>
      </c>
      <c r="H24" s="37">
        <v>2879</v>
      </c>
      <c r="I24" s="129">
        <v>300</v>
      </c>
      <c r="J24" s="129">
        <v>35</v>
      </c>
      <c r="K24" s="120">
        <v>833.33</v>
      </c>
      <c r="L24" s="12"/>
      <c r="M24" s="13">
        <f t="shared" si="6"/>
        <v>952.67</v>
      </c>
      <c r="N24" s="14">
        <f t="shared" si="2"/>
        <v>3831.67</v>
      </c>
      <c r="O24" s="29">
        <v>0.03</v>
      </c>
      <c r="P24" s="33">
        <f t="shared" si="3"/>
        <v>95.266999999999996</v>
      </c>
      <c r="Q24" s="33">
        <f t="shared" si="4"/>
        <v>102.88836000000001</v>
      </c>
    </row>
    <row r="25" spans="1:17" s="55" customFormat="1" x14ac:dyDescent="0.25">
      <c r="A25" s="5">
        <v>222</v>
      </c>
      <c r="B25" s="6" t="s">
        <v>39</v>
      </c>
      <c r="C25" s="7">
        <v>8000</v>
      </c>
      <c r="D25" s="7">
        <v>419.88</v>
      </c>
      <c r="E25" s="8">
        <f t="shared" si="0"/>
        <v>2519.2799999999997</v>
      </c>
      <c r="F25" s="8">
        <f t="shared" si="1"/>
        <v>419.88</v>
      </c>
      <c r="G25" s="9">
        <f t="shared" si="5"/>
        <v>2939.16</v>
      </c>
      <c r="H25" s="37">
        <v>2681.4</v>
      </c>
      <c r="I25" s="129">
        <v>300</v>
      </c>
      <c r="J25" s="129"/>
      <c r="K25" s="123">
        <f>1538.46</f>
        <v>1538.46</v>
      </c>
      <c r="L25" s="19"/>
      <c r="M25" s="13">
        <f t="shared" si="6"/>
        <v>3480.1400000000003</v>
      </c>
      <c r="N25" s="14">
        <f t="shared" si="2"/>
        <v>6161.5400000000009</v>
      </c>
      <c r="O25" s="29" t="s">
        <v>118</v>
      </c>
      <c r="P25" s="33">
        <f t="shared" si="3"/>
        <v>348.01400000000007</v>
      </c>
      <c r="Q25" s="33">
        <f t="shared" si="4"/>
        <v>375.85512000000011</v>
      </c>
    </row>
    <row r="26" spans="1:17" s="55" customFormat="1" x14ac:dyDescent="0.25">
      <c r="A26" s="5">
        <v>233</v>
      </c>
      <c r="B26" s="6" t="s">
        <v>42</v>
      </c>
      <c r="C26" s="7">
        <v>6250</v>
      </c>
      <c r="D26" s="7">
        <v>419.88</v>
      </c>
      <c r="E26" s="8">
        <f t="shared" si="0"/>
        <v>2519.2799999999997</v>
      </c>
      <c r="F26" s="8">
        <f t="shared" si="1"/>
        <v>419.88</v>
      </c>
      <c r="G26" s="9">
        <f t="shared" si="5"/>
        <v>2939.16</v>
      </c>
      <c r="H26" s="37">
        <v>3354.4</v>
      </c>
      <c r="I26" s="129">
        <v>75</v>
      </c>
      <c r="J26" s="129"/>
      <c r="K26" s="120"/>
      <c r="L26" s="19"/>
      <c r="M26" s="13">
        <f t="shared" si="6"/>
        <v>2820.6</v>
      </c>
      <c r="N26" s="14">
        <f t="shared" si="2"/>
        <v>6175</v>
      </c>
      <c r="O26" s="31" t="s">
        <v>118</v>
      </c>
      <c r="P26" s="33">
        <f t="shared" si="3"/>
        <v>282.06</v>
      </c>
      <c r="Q26" s="33">
        <f t="shared" si="4"/>
        <v>304.62480000000005</v>
      </c>
    </row>
    <row r="27" spans="1:17" s="55" customFormat="1" x14ac:dyDescent="0.25">
      <c r="A27" s="5">
        <v>244</v>
      </c>
      <c r="B27" s="6" t="s">
        <v>44</v>
      </c>
      <c r="C27" s="7">
        <v>5000</v>
      </c>
      <c r="D27" s="7">
        <v>419.88</v>
      </c>
      <c r="E27" s="8">
        <f t="shared" si="0"/>
        <v>2519.2799999999997</v>
      </c>
      <c r="F27" s="8">
        <f t="shared" si="1"/>
        <v>419.88</v>
      </c>
      <c r="G27" s="9">
        <f t="shared" si="5"/>
        <v>2939.16</v>
      </c>
      <c r="H27" s="37">
        <v>2744</v>
      </c>
      <c r="I27" s="129"/>
      <c r="J27" s="129"/>
      <c r="K27" s="123">
        <v>610.33000000000004</v>
      </c>
      <c r="L27" s="12"/>
      <c r="M27" s="13">
        <f>C27-H27-I27+L27-K27-J27</f>
        <v>1645.67</v>
      </c>
      <c r="N27" s="14">
        <f t="shared" si="2"/>
        <v>4389.67</v>
      </c>
      <c r="O27" s="29">
        <v>0.03</v>
      </c>
      <c r="P27" s="33">
        <f t="shared" si="3"/>
        <v>164.56700000000001</v>
      </c>
      <c r="Q27" s="33">
        <f t="shared" si="4"/>
        <v>177.73236000000003</v>
      </c>
    </row>
    <row r="28" spans="1:17" s="55" customFormat="1" x14ac:dyDescent="0.25">
      <c r="A28" s="5">
        <v>245</v>
      </c>
      <c r="B28" s="6" t="s">
        <v>45</v>
      </c>
      <c r="C28" s="7">
        <v>5000</v>
      </c>
      <c r="D28" s="7">
        <v>419.88</v>
      </c>
      <c r="E28" s="8">
        <f t="shared" si="0"/>
        <v>2519.2799999999997</v>
      </c>
      <c r="F28" s="8">
        <f t="shared" si="1"/>
        <v>419.88</v>
      </c>
      <c r="G28" s="9">
        <f t="shared" si="5"/>
        <v>2939.16</v>
      </c>
      <c r="H28" s="37">
        <v>3393.2</v>
      </c>
      <c r="I28" s="129"/>
      <c r="J28" s="129"/>
      <c r="K28" s="119"/>
      <c r="L28" s="19">
        <v>178.57</v>
      </c>
      <c r="M28" s="13">
        <f t="shared" si="6"/>
        <v>1785.3700000000001</v>
      </c>
      <c r="N28" s="14">
        <f>H28+M28</f>
        <v>5178.57</v>
      </c>
      <c r="O28" s="34" t="s">
        <v>47</v>
      </c>
      <c r="P28" s="33">
        <f t="shared" si="3"/>
        <v>178.53700000000003</v>
      </c>
      <c r="Q28" s="33">
        <f t="shared" si="4"/>
        <v>192.81996000000004</v>
      </c>
    </row>
    <row r="29" spans="1:17" s="55" customFormat="1" x14ac:dyDescent="0.25">
      <c r="A29" s="5">
        <v>252</v>
      </c>
      <c r="B29" s="6" t="s">
        <v>53</v>
      </c>
      <c r="C29" s="7">
        <v>5000</v>
      </c>
      <c r="D29" s="7">
        <v>419.88</v>
      </c>
      <c r="E29" s="8">
        <f t="shared" si="0"/>
        <v>2519.2799999999997</v>
      </c>
      <c r="F29" s="8">
        <f t="shared" si="1"/>
        <v>419.88</v>
      </c>
      <c r="G29" s="9">
        <f t="shared" si="5"/>
        <v>2939.16</v>
      </c>
      <c r="H29" s="37">
        <v>3354.4</v>
      </c>
      <c r="I29" s="129">
        <v>150</v>
      </c>
      <c r="J29" s="129"/>
      <c r="K29" s="120"/>
      <c r="L29" s="12"/>
      <c r="M29" s="22">
        <f>C29-H29-I29+L29-K29-J29</f>
        <v>1495.6</v>
      </c>
      <c r="N29" s="14">
        <f t="shared" si="2"/>
        <v>4850</v>
      </c>
      <c r="O29" s="5">
        <v>0.03</v>
      </c>
      <c r="P29" s="33">
        <f t="shared" si="3"/>
        <v>149.56</v>
      </c>
      <c r="Q29" s="33">
        <f t="shared" si="4"/>
        <v>161.5248</v>
      </c>
    </row>
    <row r="30" spans="1:17" s="55" customFormat="1" x14ac:dyDescent="0.25">
      <c r="A30" s="5">
        <v>260</v>
      </c>
      <c r="B30" s="6" t="s">
        <v>54</v>
      </c>
      <c r="C30" s="7">
        <v>5000</v>
      </c>
      <c r="D30" s="7">
        <v>419.88</v>
      </c>
      <c r="E30" s="8">
        <f t="shared" si="0"/>
        <v>2519.2799999999997</v>
      </c>
      <c r="F30" s="8">
        <f t="shared" si="1"/>
        <v>419.88</v>
      </c>
      <c r="G30" s="9">
        <f t="shared" si="5"/>
        <v>2939.16</v>
      </c>
      <c r="H30" s="37">
        <v>1140.5999999999999</v>
      </c>
      <c r="I30" s="129"/>
      <c r="J30" s="129"/>
      <c r="K30" s="119">
        <v>3859.54</v>
      </c>
      <c r="L30" s="19"/>
      <c r="M30" s="13">
        <f>C30-H30-I30+L30-K30-J30+0.14</f>
        <v>1.2734258092450546E-13</v>
      </c>
      <c r="N30" s="14">
        <f t="shared" si="2"/>
        <v>1140.6000000000001</v>
      </c>
      <c r="O30" s="5" t="s">
        <v>48</v>
      </c>
      <c r="P30" s="33">
        <f t="shared" si="3"/>
        <v>1.2734258092450546E-14</v>
      </c>
      <c r="Q30" s="33">
        <f t="shared" si="4"/>
        <v>1.375299873984659E-14</v>
      </c>
    </row>
    <row r="31" spans="1:17" s="55" customFormat="1" x14ac:dyDescent="0.25">
      <c r="A31" s="5">
        <v>261</v>
      </c>
      <c r="B31" s="6" t="s">
        <v>55</v>
      </c>
      <c r="C31" s="7">
        <v>4000</v>
      </c>
      <c r="D31" s="7">
        <v>419.88</v>
      </c>
      <c r="E31" s="8">
        <f t="shared" si="0"/>
        <v>2519.2799999999997</v>
      </c>
      <c r="F31" s="8">
        <f t="shared" si="1"/>
        <v>419.88</v>
      </c>
      <c r="G31" s="9">
        <f t="shared" si="5"/>
        <v>2939.16</v>
      </c>
      <c r="H31" s="37">
        <v>2370.8000000000002</v>
      </c>
      <c r="I31" s="129">
        <v>300</v>
      </c>
      <c r="J31" s="129">
        <v>105</v>
      </c>
      <c r="K31" s="123">
        <v>913.35</v>
      </c>
      <c r="L31" s="19"/>
      <c r="M31" s="13">
        <f t="shared" si="6"/>
        <v>310.8499999999998</v>
      </c>
      <c r="N31" s="14">
        <f t="shared" si="2"/>
        <v>2681.65</v>
      </c>
      <c r="O31" s="5">
        <v>0.03</v>
      </c>
      <c r="P31" s="33">
        <f t="shared" si="3"/>
        <v>31.08499999999998</v>
      </c>
      <c r="Q31" s="33">
        <f t="shared" si="4"/>
        <v>33.571799999999982</v>
      </c>
    </row>
    <row r="32" spans="1:17" s="55" customFormat="1" x14ac:dyDescent="0.25">
      <c r="A32" s="5">
        <v>267</v>
      </c>
      <c r="B32" s="6" t="s">
        <v>56</v>
      </c>
      <c r="C32" s="7">
        <v>5000</v>
      </c>
      <c r="D32" s="7">
        <v>419.88</v>
      </c>
      <c r="E32" s="8">
        <f t="shared" si="0"/>
        <v>2519.2799999999997</v>
      </c>
      <c r="F32" s="8">
        <f t="shared" si="1"/>
        <v>419.88</v>
      </c>
      <c r="G32" s="9">
        <f t="shared" si="5"/>
        <v>2939.16</v>
      </c>
      <c r="H32" s="37">
        <v>2848.4</v>
      </c>
      <c r="I32" s="129">
        <v>300</v>
      </c>
      <c r="J32" s="129"/>
      <c r="K32" s="123">
        <f>435.88</f>
        <v>435.88</v>
      </c>
      <c r="L32" s="12"/>
      <c r="M32" s="13">
        <f t="shared" si="6"/>
        <v>1415.7199999999998</v>
      </c>
      <c r="N32" s="14">
        <f t="shared" si="2"/>
        <v>4264.12</v>
      </c>
      <c r="O32" s="5" t="s">
        <v>47</v>
      </c>
      <c r="P32" s="33">
        <f t="shared" si="3"/>
        <v>141.57199999999997</v>
      </c>
      <c r="Q32" s="33">
        <f t="shared" si="4"/>
        <v>152.89775999999998</v>
      </c>
    </row>
    <row r="33" spans="1:17" s="55" customFormat="1" x14ac:dyDescent="0.25">
      <c r="A33" s="5">
        <v>269</v>
      </c>
      <c r="B33" s="6" t="s">
        <v>58</v>
      </c>
      <c r="C33" s="7">
        <v>7000</v>
      </c>
      <c r="D33" s="7">
        <v>419.88</v>
      </c>
      <c r="E33" s="8">
        <f t="shared" si="0"/>
        <v>2519.2799999999997</v>
      </c>
      <c r="F33" s="8">
        <f t="shared" si="1"/>
        <v>419.88</v>
      </c>
      <c r="G33" s="9">
        <f t="shared" si="5"/>
        <v>2939.16</v>
      </c>
      <c r="H33" s="37">
        <v>3120.4</v>
      </c>
      <c r="I33" s="129">
        <v>225</v>
      </c>
      <c r="J33" s="129"/>
      <c r="K33" s="120">
        <v>293.92</v>
      </c>
      <c r="L33" s="19"/>
      <c r="M33" s="13">
        <f t="shared" si="6"/>
        <v>3360.68</v>
      </c>
      <c r="N33" s="14">
        <f>H33+M33</f>
        <v>6481.08</v>
      </c>
      <c r="O33" s="5" t="s">
        <v>118</v>
      </c>
      <c r="P33" s="33">
        <f t="shared" si="3"/>
        <v>336.06799999999998</v>
      </c>
      <c r="Q33" s="33">
        <f t="shared" si="4"/>
        <v>362.95344</v>
      </c>
    </row>
    <row r="34" spans="1:17" s="55" customFormat="1" x14ac:dyDescent="0.25">
      <c r="A34" s="5">
        <v>271</v>
      </c>
      <c r="B34" s="6" t="s">
        <v>59</v>
      </c>
      <c r="C34" s="7">
        <v>4000</v>
      </c>
      <c r="D34" s="7">
        <v>419.88</v>
      </c>
      <c r="E34" s="8">
        <f t="shared" si="0"/>
        <v>2519.2799999999997</v>
      </c>
      <c r="F34" s="8">
        <f t="shared" si="1"/>
        <v>419.88</v>
      </c>
      <c r="G34" s="9">
        <f t="shared" si="5"/>
        <v>2939.16</v>
      </c>
      <c r="H34" s="37">
        <v>3354.4</v>
      </c>
      <c r="I34" s="129"/>
      <c r="J34" s="129"/>
      <c r="K34" s="120"/>
      <c r="L34" s="19"/>
      <c r="M34" s="22">
        <f t="shared" si="6"/>
        <v>645.59999999999991</v>
      </c>
      <c r="N34" s="14">
        <f t="shared" si="2"/>
        <v>4000</v>
      </c>
      <c r="O34" s="5">
        <v>0.03</v>
      </c>
      <c r="P34" s="33">
        <f t="shared" si="3"/>
        <v>64.559999999999988</v>
      </c>
      <c r="Q34" s="33">
        <f t="shared" si="4"/>
        <v>69.724799999999988</v>
      </c>
    </row>
    <row r="35" spans="1:17" s="55" customFormat="1" x14ac:dyDescent="0.25">
      <c r="A35" s="5">
        <v>275</v>
      </c>
      <c r="B35" s="6" t="s">
        <v>60</v>
      </c>
      <c r="C35" s="7">
        <v>3375</v>
      </c>
      <c r="D35" s="7">
        <v>419.88</v>
      </c>
      <c r="E35" s="8">
        <f t="shared" si="0"/>
        <v>2519.2799999999997</v>
      </c>
      <c r="F35" s="8">
        <f t="shared" si="1"/>
        <v>419.88</v>
      </c>
      <c r="G35" s="9">
        <f t="shared" si="5"/>
        <v>2939.16</v>
      </c>
      <c r="H35" s="37">
        <v>3354.2</v>
      </c>
      <c r="I35" s="129"/>
      <c r="J35" s="129"/>
      <c r="K35" s="120"/>
      <c r="L35" s="19"/>
      <c r="M35" s="13">
        <f>C35-H35-I35+L35-K35-J35</f>
        <v>20.800000000000182</v>
      </c>
      <c r="N35" s="14">
        <f>H35+M35</f>
        <v>3375</v>
      </c>
      <c r="O35" s="5">
        <v>0.03</v>
      </c>
      <c r="P35" s="33">
        <f>+M35*0.1</f>
        <v>2.0800000000000183</v>
      </c>
      <c r="Q35" s="33">
        <f>+P35*1.08</f>
        <v>2.2464000000000199</v>
      </c>
    </row>
    <row r="36" spans="1:17" s="55" customFormat="1" x14ac:dyDescent="0.25">
      <c r="A36" s="5">
        <v>276</v>
      </c>
      <c r="B36" s="6" t="s">
        <v>61</v>
      </c>
      <c r="C36" s="7">
        <v>5000</v>
      </c>
      <c r="D36" s="7">
        <v>419.88</v>
      </c>
      <c r="E36" s="8">
        <f t="shared" si="0"/>
        <v>2519.2799999999997</v>
      </c>
      <c r="F36" s="8">
        <f t="shared" si="1"/>
        <v>419.88</v>
      </c>
      <c r="G36" s="9">
        <f t="shared" si="5"/>
        <v>2939.16</v>
      </c>
      <c r="H36" s="37">
        <v>3354.2</v>
      </c>
      <c r="I36" s="129">
        <v>300</v>
      </c>
      <c r="J36" s="129">
        <v>35</v>
      </c>
      <c r="K36" s="119"/>
      <c r="L36" s="19"/>
      <c r="M36" s="13">
        <f t="shared" si="6"/>
        <v>1310.8000000000002</v>
      </c>
      <c r="N36" s="14">
        <f t="shared" si="2"/>
        <v>4665</v>
      </c>
      <c r="O36" s="5">
        <v>0.03</v>
      </c>
      <c r="P36" s="33">
        <f t="shared" si="3"/>
        <v>131.08000000000001</v>
      </c>
      <c r="Q36" s="33">
        <f t="shared" si="4"/>
        <v>141.56640000000002</v>
      </c>
    </row>
    <row r="37" spans="1:17" s="55" customFormat="1" x14ac:dyDescent="0.25">
      <c r="A37" s="5">
        <v>279</v>
      </c>
      <c r="B37" s="6" t="s">
        <v>63</v>
      </c>
      <c r="C37" s="7">
        <v>4500</v>
      </c>
      <c r="D37" s="7">
        <v>419.88</v>
      </c>
      <c r="E37" s="8">
        <f t="shared" si="0"/>
        <v>2519.2799999999997</v>
      </c>
      <c r="F37" s="8">
        <f t="shared" si="1"/>
        <v>419.88</v>
      </c>
      <c r="G37" s="9">
        <f t="shared" si="5"/>
        <v>2939.16</v>
      </c>
      <c r="H37" s="37">
        <v>3354.4</v>
      </c>
      <c r="I37" s="129"/>
      <c r="J37" s="129"/>
      <c r="K37" s="120"/>
      <c r="L37" s="19"/>
      <c r="M37" s="22">
        <f t="shared" si="6"/>
        <v>1145.5999999999999</v>
      </c>
      <c r="N37" s="14">
        <f t="shared" si="2"/>
        <v>4500</v>
      </c>
      <c r="O37" s="5" t="s">
        <v>118</v>
      </c>
      <c r="P37" s="33">
        <f t="shared" si="3"/>
        <v>114.56</v>
      </c>
      <c r="Q37" s="33">
        <f t="shared" si="4"/>
        <v>123.72480000000002</v>
      </c>
    </row>
    <row r="38" spans="1:17" s="55" customFormat="1" x14ac:dyDescent="0.25">
      <c r="A38" s="5">
        <v>280</v>
      </c>
      <c r="B38" s="6" t="s">
        <v>64</v>
      </c>
      <c r="C38" s="7">
        <v>5000</v>
      </c>
      <c r="D38" s="7">
        <v>419.88</v>
      </c>
      <c r="E38" s="8">
        <f t="shared" si="0"/>
        <v>2519.2799999999997</v>
      </c>
      <c r="F38" s="8">
        <f t="shared" si="1"/>
        <v>419.88</v>
      </c>
      <c r="G38" s="9">
        <f t="shared" si="5"/>
        <v>2939.16</v>
      </c>
      <c r="H38" s="37">
        <v>3354.2</v>
      </c>
      <c r="I38" s="129"/>
      <c r="J38" s="129"/>
      <c r="K38" s="119"/>
      <c r="L38" s="19"/>
      <c r="M38" s="13">
        <f t="shared" si="6"/>
        <v>1645.8000000000002</v>
      </c>
      <c r="N38" s="14">
        <f t="shared" si="2"/>
        <v>5000</v>
      </c>
      <c r="O38" s="5" t="s">
        <v>119</v>
      </c>
      <c r="P38" s="33">
        <f t="shared" si="3"/>
        <v>164.58000000000004</v>
      </c>
      <c r="Q38" s="33">
        <f t="shared" si="4"/>
        <v>177.74640000000005</v>
      </c>
    </row>
    <row r="39" spans="1:17" s="55" customFormat="1" x14ac:dyDescent="0.25">
      <c r="A39" s="5">
        <v>281</v>
      </c>
      <c r="B39" s="6" t="s">
        <v>65</v>
      </c>
      <c r="C39" s="7">
        <v>8750</v>
      </c>
      <c r="D39" s="7">
        <v>419.88</v>
      </c>
      <c r="E39" s="8">
        <f t="shared" si="0"/>
        <v>2519.2799999999997</v>
      </c>
      <c r="F39" s="8">
        <f t="shared" si="1"/>
        <v>419.88</v>
      </c>
      <c r="G39" s="9">
        <f t="shared" si="5"/>
        <v>2939.16</v>
      </c>
      <c r="H39" s="37">
        <v>3354.4</v>
      </c>
      <c r="I39" s="129"/>
      <c r="J39" s="129"/>
      <c r="K39" s="119"/>
      <c r="L39" s="19"/>
      <c r="M39" s="13">
        <f t="shared" si="6"/>
        <v>5395.6</v>
      </c>
      <c r="N39" s="14">
        <f t="shared" si="2"/>
        <v>8750</v>
      </c>
      <c r="O39" s="5">
        <v>0.03</v>
      </c>
      <c r="P39" s="33">
        <f t="shared" si="3"/>
        <v>539.56000000000006</v>
      </c>
      <c r="Q39" s="33">
        <f t="shared" si="4"/>
        <v>582.72480000000007</v>
      </c>
    </row>
    <row r="40" spans="1:17" s="55" customFormat="1" x14ac:dyDescent="0.25">
      <c r="A40" s="5">
        <v>283</v>
      </c>
      <c r="B40" s="6" t="s">
        <v>66</v>
      </c>
      <c r="C40" s="7">
        <v>5000</v>
      </c>
      <c r="D40" s="7">
        <v>419.88</v>
      </c>
      <c r="E40" s="8">
        <f t="shared" si="0"/>
        <v>2519.2799999999997</v>
      </c>
      <c r="F40" s="8">
        <f t="shared" si="1"/>
        <v>419.88</v>
      </c>
      <c r="G40" s="9">
        <f t="shared" si="5"/>
        <v>2939.16</v>
      </c>
      <c r="H40" s="37">
        <v>3354.2</v>
      </c>
      <c r="I40" s="129"/>
      <c r="J40" s="129">
        <v>35</v>
      </c>
      <c r="K40" s="120"/>
      <c r="L40" s="12"/>
      <c r="M40" s="13">
        <f t="shared" si="6"/>
        <v>1610.8000000000002</v>
      </c>
      <c r="N40" s="14">
        <f t="shared" si="2"/>
        <v>4965</v>
      </c>
      <c r="O40" s="5">
        <v>0.03</v>
      </c>
      <c r="P40" s="33">
        <f t="shared" si="3"/>
        <v>161.08000000000004</v>
      </c>
      <c r="Q40" s="33">
        <f t="shared" si="4"/>
        <v>173.96640000000005</v>
      </c>
    </row>
    <row r="41" spans="1:17" s="55" customFormat="1" x14ac:dyDescent="0.25">
      <c r="A41" s="5">
        <v>284</v>
      </c>
      <c r="B41" s="6" t="s">
        <v>67</v>
      </c>
      <c r="C41" s="7">
        <v>4000</v>
      </c>
      <c r="D41" s="7">
        <v>419.88</v>
      </c>
      <c r="E41" s="8">
        <f t="shared" si="0"/>
        <v>2519.2799999999997</v>
      </c>
      <c r="F41" s="8">
        <f t="shared" si="1"/>
        <v>419.88</v>
      </c>
      <c r="G41" s="9">
        <f t="shared" si="5"/>
        <v>2939.16</v>
      </c>
      <c r="H41" s="37">
        <v>3354.4</v>
      </c>
      <c r="I41" s="129">
        <v>150</v>
      </c>
      <c r="J41" s="129">
        <v>35</v>
      </c>
      <c r="K41" s="119"/>
      <c r="L41" s="19"/>
      <c r="M41" s="13">
        <f t="shared" si="6"/>
        <v>460.59999999999991</v>
      </c>
      <c r="N41" s="14">
        <f t="shared" si="2"/>
        <v>3815</v>
      </c>
      <c r="O41" s="5" t="s">
        <v>48</v>
      </c>
      <c r="P41" s="33">
        <f t="shared" si="3"/>
        <v>46.059999999999995</v>
      </c>
      <c r="Q41" s="33">
        <f t="shared" si="4"/>
        <v>49.744799999999998</v>
      </c>
    </row>
    <row r="42" spans="1:17" s="55" customFormat="1" x14ac:dyDescent="0.25">
      <c r="A42" s="5">
        <v>285</v>
      </c>
      <c r="B42" s="6" t="s">
        <v>68</v>
      </c>
      <c r="C42" s="7">
        <v>4000</v>
      </c>
      <c r="D42" s="7">
        <v>419.88</v>
      </c>
      <c r="E42" s="8">
        <f t="shared" si="0"/>
        <v>2519.2799999999997</v>
      </c>
      <c r="F42" s="8">
        <f t="shared" si="1"/>
        <v>419.88</v>
      </c>
      <c r="G42" s="9">
        <f t="shared" si="5"/>
        <v>2939.16</v>
      </c>
      <c r="H42" s="37">
        <v>3120.4</v>
      </c>
      <c r="I42" s="129">
        <v>300</v>
      </c>
      <c r="J42" s="129">
        <v>140</v>
      </c>
      <c r="K42" s="120">
        <v>293.92</v>
      </c>
      <c r="L42" s="19"/>
      <c r="M42" s="13">
        <f>C42-H42-I42+L42-K42-J42</f>
        <v>145.67999999999989</v>
      </c>
      <c r="N42" s="14">
        <f t="shared" si="2"/>
        <v>3266.08</v>
      </c>
      <c r="O42" s="5" t="s">
        <v>48</v>
      </c>
      <c r="P42" s="33">
        <f t="shared" si="3"/>
        <v>14.567999999999991</v>
      </c>
      <c r="Q42" s="33">
        <f t="shared" si="4"/>
        <v>15.733439999999991</v>
      </c>
    </row>
    <row r="43" spans="1:17" s="55" customFormat="1" x14ac:dyDescent="0.25">
      <c r="A43" s="5">
        <v>286</v>
      </c>
      <c r="B43" s="6" t="s">
        <v>69</v>
      </c>
      <c r="C43" s="7">
        <v>4000</v>
      </c>
      <c r="D43" s="7">
        <v>419.88</v>
      </c>
      <c r="E43" s="8">
        <f t="shared" si="0"/>
        <v>2519.2799999999997</v>
      </c>
      <c r="F43" s="8">
        <f t="shared" si="1"/>
        <v>419.88</v>
      </c>
      <c r="G43" s="9">
        <f t="shared" si="5"/>
        <v>2939.16</v>
      </c>
      <c r="H43" s="37">
        <v>3354.4</v>
      </c>
      <c r="I43" s="129">
        <v>300</v>
      </c>
      <c r="J43" s="129"/>
      <c r="K43" s="119"/>
      <c r="L43" s="19"/>
      <c r="M43" s="13">
        <f t="shared" si="6"/>
        <v>345.59999999999991</v>
      </c>
      <c r="N43" s="14">
        <f t="shared" si="2"/>
        <v>3700</v>
      </c>
      <c r="O43" s="5" t="s">
        <v>118</v>
      </c>
      <c r="P43" s="33">
        <f t="shared" si="3"/>
        <v>34.559999999999995</v>
      </c>
      <c r="Q43" s="33">
        <f t="shared" si="4"/>
        <v>37.324799999999996</v>
      </c>
    </row>
    <row r="44" spans="1:17" s="55" customFormat="1" x14ac:dyDescent="0.25">
      <c r="A44" s="5">
        <v>287</v>
      </c>
      <c r="B44" s="6" t="s">
        <v>72</v>
      </c>
      <c r="C44" s="7">
        <v>5000</v>
      </c>
      <c r="D44" s="7">
        <v>419.88</v>
      </c>
      <c r="E44" s="8">
        <f t="shared" si="0"/>
        <v>2519.2799999999997</v>
      </c>
      <c r="F44" s="8">
        <f t="shared" si="1"/>
        <v>419.88</v>
      </c>
      <c r="G44" s="9">
        <f t="shared" si="5"/>
        <v>2939.16</v>
      </c>
      <c r="H44" s="37">
        <v>3354.4</v>
      </c>
      <c r="I44" s="129">
        <v>225</v>
      </c>
      <c r="J44" s="129">
        <v>70</v>
      </c>
      <c r="K44" s="120"/>
      <c r="L44" s="19"/>
      <c r="M44" s="13">
        <f>C44-H44-I44+L44-K44-J44</f>
        <v>1350.6</v>
      </c>
      <c r="N44" s="14">
        <f t="shared" si="2"/>
        <v>4705</v>
      </c>
      <c r="O44" s="5" t="s">
        <v>118</v>
      </c>
      <c r="P44" s="33">
        <f t="shared" si="3"/>
        <v>135.06</v>
      </c>
      <c r="Q44" s="33">
        <f t="shared" si="4"/>
        <v>145.8648</v>
      </c>
    </row>
    <row r="45" spans="1:17" s="55" customFormat="1" x14ac:dyDescent="0.25">
      <c r="A45" s="5">
        <v>288</v>
      </c>
      <c r="B45" s="6" t="s">
        <v>73</v>
      </c>
      <c r="C45" s="7">
        <v>3500</v>
      </c>
      <c r="D45" s="7">
        <v>419.88</v>
      </c>
      <c r="E45" s="8">
        <f t="shared" si="0"/>
        <v>2519.2799999999997</v>
      </c>
      <c r="F45" s="8">
        <f t="shared" si="1"/>
        <v>419.88</v>
      </c>
      <c r="G45" s="9">
        <f t="shared" si="5"/>
        <v>2939.16</v>
      </c>
      <c r="H45" s="37">
        <v>3354.2</v>
      </c>
      <c r="I45" s="129"/>
      <c r="J45" s="129"/>
      <c r="K45" s="119"/>
      <c r="L45" s="19"/>
      <c r="M45" s="13">
        <f>C45-H45-I45+L45-K45-J45</f>
        <v>145.80000000000018</v>
      </c>
      <c r="N45" s="14">
        <f t="shared" si="2"/>
        <v>3500</v>
      </c>
      <c r="O45" s="5">
        <v>0.03</v>
      </c>
      <c r="P45" s="33">
        <f t="shared" si="3"/>
        <v>14.58000000000002</v>
      </c>
      <c r="Q45" s="33">
        <f t="shared" si="4"/>
        <v>15.746400000000023</v>
      </c>
    </row>
    <row r="46" spans="1:17" x14ac:dyDescent="0.25">
      <c r="A46" s="5">
        <v>289</v>
      </c>
      <c r="B46" s="6" t="s">
        <v>74</v>
      </c>
      <c r="C46" s="7">
        <v>3500</v>
      </c>
      <c r="D46" s="7">
        <v>419.88</v>
      </c>
      <c r="E46" s="8">
        <f t="shared" si="0"/>
        <v>2519.2799999999997</v>
      </c>
      <c r="F46" s="8">
        <f t="shared" si="1"/>
        <v>419.88</v>
      </c>
      <c r="G46" s="9">
        <f t="shared" si="5"/>
        <v>2939.16</v>
      </c>
      <c r="H46" s="37">
        <v>3354.2</v>
      </c>
      <c r="I46" s="129"/>
      <c r="J46" s="129"/>
      <c r="K46" s="119"/>
      <c r="L46" s="19">
        <v>1500</v>
      </c>
      <c r="M46" s="13">
        <f t="shared" si="6"/>
        <v>1645.8000000000002</v>
      </c>
      <c r="N46" s="14">
        <f t="shared" si="2"/>
        <v>5000</v>
      </c>
      <c r="O46" s="5">
        <v>0.03</v>
      </c>
      <c r="P46" s="33">
        <f t="shared" si="3"/>
        <v>164.58000000000004</v>
      </c>
      <c r="Q46" s="33">
        <f t="shared" si="4"/>
        <v>177.74640000000005</v>
      </c>
    </row>
    <row r="47" spans="1:17" x14ac:dyDescent="0.25">
      <c r="A47" s="5">
        <v>291</v>
      </c>
      <c r="B47" s="6" t="s">
        <v>78</v>
      </c>
      <c r="C47" s="7">
        <v>4250</v>
      </c>
      <c r="D47" s="7">
        <v>419.88</v>
      </c>
      <c r="E47" s="8">
        <f t="shared" si="0"/>
        <v>2519.2799999999997</v>
      </c>
      <c r="F47" s="8">
        <f t="shared" si="1"/>
        <v>419.88</v>
      </c>
      <c r="G47" s="9">
        <f t="shared" si="5"/>
        <v>2939.16</v>
      </c>
      <c r="H47" s="37">
        <v>3354.4</v>
      </c>
      <c r="I47" s="129"/>
      <c r="J47" s="129">
        <v>70</v>
      </c>
      <c r="K47" s="119"/>
      <c r="L47" s="19"/>
      <c r="M47" s="13">
        <f t="shared" si="6"/>
        <v>825.59999999999991</v>
      </c>
      <c r="N47" s="14">
        <f t="shared" si="2"/>
        <v>4180</v>
      </c>
      <c r="O47" s="5">
        <v>0.03</v>
      </c>
      <c r="P47" s="33">
        <f t="shared" si="3"/>
        <v>82.56</v>
      </c>
      <c r="Q47" s="33">
        <f t="shared" si="4"/>
        <v>89.164800000000014</v>
      </c>
    </row>
    <row r="48" spans="1:17" x14ac:dyDescent="0.25">
      <c r="A48" s="5">
        <v>293</v>
      </c>
      <c r="B48" s="6" t="s">
        <v>89</v>
      </c>
      <c r="C48" s="7">
        <v>4000</v>
      </c>
      <c r="D48" s="7">
        <v>419.88</v>
      </c>
      <c r="E48" s="8">
        <f t="shared" si="0"/>
        <v>2519.2799999999997</v>
      </c>
      <c r="F48" s="8">
        <f t="shared" si="1"/>
        <v>419.88</v>
      </c>
      <c r="G48" s="9">
        <f t="shared" si="5"/>
        <v>2939.16</v>
      </c>
      <c r="H48" s="37">
        <v>3354.4</v>
      </c>
      <c r="I48" s="129">
        <v>225</v>
      </c>
      <c r="J48" s="129"/>
      <c r="K48" s="119"/>
      <c r="L48" s="12"/>
      <c r="M48" s="13">
        <f t="shared" si="6"/>
        <v>420.59999999999991</v>
      </c>
      <c r="N48" s="14">
        <f t="shared" si="2"/>
        <v>3775</v>
      </c>
      <c r="O48" s="5">
        <v>0.03</v>
      </c>
      <c r="P48" s="33">
        <f t="shared" si="3"/>
        <v>42.059999999999995</v>
      </c>
      <c r="Q48" s="33">
        <f t="shared" si="4"/>
        <v>45.424799999999998</v>
      </c>
    </row>
    <row r="49" spans="1:17" x14ac:dyDescent="0.25">
      <c r="A49" s="5">
        <v>294</v>
      </c>
      <c r="B49" s="6" t="s">
        <v>91</v>
      </c>
      <c r="C49" s="7">
        <v>4000</v>
      </c>
      <c r="D49" s="7">
        <v>419.88</v>
      </c>
      <c r="E49" s="8">
        <f t="shared" si="0"/>
        <v>2519.2799999999997</v>
      </c>
      <c r="F49" s="8">
        <f t="shared" si="1"/>
        <v>419.88</v>
      </c>
      <c r="G49" s="9">
        <f t="shared" si="5"/>
        <v>2939.16</v>
      </c>
      <c r="H49" s="37">
        <v>3354.2</v>
      </c>
      <c r="I49" s="129">
        <v>300</v>
      </c>
      <c r="J49" s="129">
        <v>35</v>
      </c>
      <c r="K49" s="120"/>
      <c r="L49" s="12"/>
      <c r="M49" s="13">
        <f t="shared" si="6"/>
        <v>310.80000000000018</v>
      </c>
      <c r="N49" s="14">
        <f t="shared" si="2"/>
        <v>3665</v>
      </c>
      <c r="O49" s="5">
        <v>0.03</v>
      </c>
      <c r="P49" s="33">
        <f t="shared" si="3"/>
        <v>31.08000000000002</v>
      </c>
      <c r="Q49" s="33">
        <f t="shared" si="4"/>
        <v>33.566400000000023</v>
      </c>
    </row>
    <row r="50" spans="1:17" x14ac:dyDescent="0.25">
      <c r="A50" s="5">
        <v>298</v>
      </c>
      <c r="B50" s="6" t="s">
        <v>115</v>
      </c>
      <c r="C50" s="7">
        <v>5000</v>
      </c>
      <c r="D50" s="7">
        <v>419.88</v>
      </c>
      <c r="E50" s="8">
        <f t="shared" si="0"/>
        <v>2519.2799999999997</v>
      </c>
      <c r="F50" s="8">
        <f t="shared" si="1"/>
        <v>419.88</v>
      </c>
      <c r="G50" s="9">
        <f t="shared" si="5"/>
        <v>2939.16</v>
      </c>
      <c r="H50" s="37">
        <v>1938.8</v>
      </c>
      <c r="I50" s="129">
        <v>225</v>
      </c>
      <c r="J50" s="129">
        <v>140</v>
      </c>
      <c r="K50" s="123">
        <f>1461.5</f>
        <v>1461.5</v>
      </c>
      <c r="L50" s="12">
        <v>535.71</v>
      </c>
      <c r="M50" s="22">
        <f t="shared" si="6"/>
        <v>1770.4099999999999</v>
      </c>
      <c r="N50" s="14">
        <f t="shared" si="2"/>
        <v>3709.21</v>
      </c>
      <c r="O50" s="5">
        <v>0.03</v>
      </c>
      <c r="P50" s="33">
        <f t="shared" si="3"/>
        <v>177.041</v>
      </c>
      <c r="Q50" s="33">
        <f t="shared" si="4"/>
        <v>191.20428000000001</v>
      </c>
    </row>
    <row r="51" spans="1:17" s="55" customFormat="1" x14ac:dyDescent="0.25">
      <c r="A51" s="5">
        <v>300</v>
      </c>
      <c r="B51" s="6" t="s">
        <v>121</v>
      </c>
      <c r="C51" s="7">
        <v>6250</v>
      </c>
      <c r="D51" s="7">
        <v>419.88</v>
      </c>
      <c r="E51" s="8">
        <f t="shared" si="0"/>
        <v>2519.2799999999997</v>
      </c>
      <c r="F51" s="8">
        <f t="shared" si="1"/>
        <v>419.88</v>
      </c>
      <c r="G51" s="9">
        <f t="shared" si="5"/>
        <v>2939.16</v>
      </c>
      <c r="H51" s="37">
        <v>3354.4</v>
      </c>
      <c r="I51" s="129"/>
      <c r="J51" s="129"/>
      <c r="K51" s="119"/>
      <c r="L51" s="12"/>
      <c r="M51" s="22">
        <f t="shared" si="6"/>
        <v>2895.6</v>
      </c>
      <c r="N51" s="14">
        <f t="shared" si="2"/>
        <v>6250</v>
      </c>
      <c r="O51" s="5">
        <v>0.03</v>
      </c>
      <c r="P51" s="33">
        <f t="shared" si="3"/>
        <v>289.56</v>
      </c>
      <c r="Q51" s="33">
        <f t="shared" si="4"/>
        <v>312.72480000000002</v>
      </c>
    </row>
    <row r="52" spans="1:17" s="55" customFormat="1" x14ac:dyDescent="0.25">
      <c r="A52" s="5">
        <v>301</v>
      </c>
      <c r="B52" s="6" t="s">
        <v>124</v>
      </c>
      <c r="C52" s="7">
        <v>5000</v>
      </c>
      <c r="D52" s="7">
        <v>419.88</v>
      </c>
      <c r="E52" s="8">
        <f t="shared" si="0"/>
        <v>2519.2799999999997</v>
      </c>
      <c r="F52" s="8">
        <f t="shared" si="1"/>
        <v>419.88</v>
      </c>
      <c r="G52" s="9">
        <f t="shared" si="5"/>
        <v>2939.16</v>
      </c>
      <c r="H52" s="37">
        <v>3354.4</v>
      </c>
      <c r="I52" s="129"/>
      <c r="J52" s="129"/>
      <c r="K52" s="119"/>
      <c r="L52" s="12"/>
      <c r="M52" s="22">
        <f t="shared" si="6"/>
        <v>1645.6</v>
      </c>
      <c r="N52" s="14">
        <f t="shared" si="2"/>
        <v>5000</v>
      </c>
      <c r="O52" s="5">
        <v>0.03</v>
      </c>
      <c r="P52" s="33">
        <f t="shared" si="3"/>
        <v>164.56</v>
      </c>
      <c r="Q52" s="33">
        <f t="shared" si="4"/>
        <v>177.72480000000002</v>
      </c>
    </row>
    <row r="53" spans="1:17" s="55" customFormat="1" x14ac:dyDescent="0.25">
      <c r="A53" s="5">
        <v>302</v>
      </c>
      <c r="B53" s="17" t="s">
        <v>128</v>
      </c>
      <c r="C53" s="7">
        <v>5000</v>
      </c>
      <c r="D53" s="7">
        <v>419.88</v>
      </c>
      <c r="E53" s="8">
        <f t="shared" si="0"/>
        <v>2519.2799999999997</v>
      </c>
      <c r="F53" s="8">
        <f t="shared" si="1"/>
        <v>419.88</v>
      </c>
      <c r="G53" s="9">
        <f t="shared" si="5"/>
        <v>2939.16</v>
      </c>
      <c r="H53" s="37">
        <v>2879</v>
      </c>
      <c r="I53" s="129"/>
      <c r="J53" s="129"/>
      <c r="K53" s="119">
        <v>440.59</v>
      </c>
      <c r="L53" s="12"/>
      <c r="M53" s="22">
        <f t="shared" si="6"/>
        <v>1680.41</v>
      </c>
      <c r="N53" s="14">
        <f t="shared" si="2"/>
        <v>4559.41</v>
      </c>
      <c r="O53" s="5">
        <v>0.03</v>
      </c>
      <c r="P53" s="33">
        <f t="shared" si="3"/>
        <v>168.04100000000003</v>
      </c>
      <c r="Q53" s="33">
        <f t="shared" si="4"/>
        <v>181.48428000000004</v>
      </c>
    </row>
    <row r="54" spans="1:17" s="55" customFormat="1" x14ac:dyDescent="0.25">
      <c r="A54" s="5">
        <v>303</v>
      </c>
      <c r="B54" s="6" t="s">
        <v>129</v>
      </c>
      <c r="C54" s="7">
        <v>4000</v>
      </c>
      <c r="D54" s="7">
        <v>419.88</v>
      </c>
      <c r="E54" s="8">
        <f t="shared" si="0"/>
        <v>2519.2799999999997</v>
      </c>
      <c r="F54" s="8">
        <f t="shared" si="1"/>
        <v>419.88</v>
      </c>
      <c r="G54" s="9">
        <f t="shared" si="5"/>
        <v>2939.16</v>
      </c>
      <c r="H54" s="37">
        <v>3120.4</v>
      </c>
      <c r="I54" s="129">
        <v>225</v>
      </c>
      <c r="J54" s="129">
        <v>70</v>
      </c>
      <c r="K54" s="119">
        <v>293.92</v>
      </c>
      <c r="L54" s="12"/>
      <c r="M54" s="22">
        <f>C54-H54-I54+L54-K54-J54</f>
        <v>290.67999999999989</v>
      </c>
      <c r="N54" s="14">
        <f t="shared" si="2"/>
        <v>3411.08</v>
      </c>
      <c r="O54" s="5">
        <v>0.03</v>
      </c>
      <c r="P54" s="33">
        <f t="shared" si="3"/>
        <v>29.067999999999991</v>
      </c>
      <c r="Q54" s="33">
        <f t="shared" si="4"/>
        <v>31.393439999999991</v>
      </c>
    </row>
    <row r="55" spans="1:17" s="55" customFormat="1" x14ac:dyDescent="0.25">
      <c r="A55" s="5">
        <v>304</v>
      </c>
      <c r="B55" s="6" t="s">
        <v>131</v>
      </c>
      <c r="C55" s="7">
        <v>4500</v>
      </c>
      <c r="D55" s="7">
        <v>419.88</v>
      </c>
      <c r="E55" s="8">
        <f t="shared" si="0"/>
        <v>2519.2799999999997</v>
      </c>
      <c r="F55" s="8">
        <f t="shared" si="1"/>
        <v>419.88</v>
      </c>
      <c r="G55" s="9">
        <f t="shared" si="5"/>
        <v>2939.16</v>
      </c>
      <c r="H55" s="37">
        <v>3354.4</v>
      </c>
      <c r="I55" s="129">
        <v>150</v>
      </c>
      <c r="J55" s="129">
        <v>105</v>
      </c>
      <c r="K55" s="119"/>
      <c r="L55" s="12"/>
      <c r="M55" s="22">
        <f>C55-H55-I55+L55-K55-J55</f>
        <v>890.59999999999991</v>
      </c>
      <c r="N55" s="14">
        <f t="shared" si="2"/>
        <v>4245</v>
      </c>
      <c r="O55" s="5">
        <v>0.03</v>
      </c>
      <c r="P55" s="33">
        <f t="shared" si="3"/>
        <v>89.06</v>
      </c>
      <c r="Q55" s="33">
        <f t="shared" si="4"/>
        <v>96.18480000000001</v>
      </c>
    </row>
    <row r="56" spans="1:17" s="55" customFormat="1" x14ac:dyDescent="0.25">
      <c r="A56" s="5">
        <v>306</v>
      </c>
      <c r="B56" s="6" t="s">
        <v>136</v>
      </c>
      <c r="C56" s="7">
        <v>4000</v>
      </c>
      <c r="D56" s="7">
        <v>419.88</v>
      </c>
      <c r="E56" s="8">
        <f t="shared" si="0"/>
        <v>2519.2799999999997</v>
      </c>
      <c r="F56" s="8">
        <f>$D56</f>
        <v>419.88</v>
      </c>
      <c r="G56" s="9">
        <f t="shared" si="5"/>
        <v>2939.16</v>
      </c>
      <c r="H56" s="115">
        <v>3120.4</v>
      </c>
      <c r="I56" s="129">
        <v>300</v>
      </c>
      <c r="J56" s="129">
        <v>35</v>
      </c>
      <c r="K56" s="119">
        <v>293.92</v>
      </c>
      <c r="L56" s="12"/>
      <c r="M56" s="22">
        <f t="shared" ref="M56:M65" si="7">C56-H56-I56+L56-K56-J56</f>
        <v>250.67999999999989</v>
      </c>
      <c r="N56" s="14">
        <f t="shared" si="2"/>
        <v>3371.08</v>
      </c>
      <c r="O56" s="5">
        <v>0.03</v>
      </c>
      <c r="P56" s="33">
        <f t="shared" si="3"/>
        <v>25.067999999999991</v>
      </c>
      <c r="Q56" s="33">
        <f t="shared" si="4"/>
        <v>27.073439999999991</v>
      </c>
    </row>
    <row r="57" spans="1:17" s="55" customFormat="1" x14ac:dyDescent="0.25">
      <c r="A57" s="5">
        <v>307</v>
      </c>
      <c r="B57" s="6" t="s">
        <v>140</v>
      </c>
      <c r="C57" s="7">
        <v>4000</v>
      </c>
      <c r="D57" s="7">
        <v>419.88</v>
      </c>
      <c r="E57" s="8">
        <f t="shared" si="0"/>
        <v>2519.2799999999997</v>
      </c>
      <c r="F57" s="8">
        <f t="shared" si="1"/>
        <v>419.88</v>
      </c>
      <c r="G57" s="9">
        <f t="shared" si="5"/>
        <v>2939.16</v>
      </c>
      <c r="H57" s="115">
        <v>3354.4</v>
      </c>
      <c r="I57" s="129">
        <v>300</v>
      </c>
      <c r="J57" s="129">
        <v>140</v>
      </c>
      <c r="K57" s="119"/>
      <c r="L57" s="12"/>
      <c r="M57" s="22">
        <f t="shared" si="7"/>
        <v>205.59999999999991</v>
      </c>
      <c r="N57" s="14">
        <f t="shared" si="2"/>
        <v>3560</v>
      </c>
      <c r="O57" s="5">
        <v>0.03</v>
      </c>
      <c r="P57" s="33">
        <f t="shared" si="3"/>
        <v>20.559999999999992</v>
      </c>
      <c r="Q57" s="33">
        <f t="shared" si="4"/>
        <v>22.204799999999992</v>
      </c>
    </row>
    <row r="58" spans="1:17" s="55" customFormat="1" x14ac:dyDescent="0.25">
      <c r="A58" s="5">
        <v>308</v>
      </c>
      <c r="B58" s="6" t="s">
        <v>138</v>
      </c>
      <c r="C58" s="7">
        <v>2700</v>
      </c>
      <c r="D58" s="7">
        <v>420.88</v>
      </c>
      <c r="E58" s="8">
        <f t="shared" si="0"/>
        <v>2525.2799999999997</v>
      </c>
      <c r="F58" s="8">
        <f t="shared" si="1"/>
        <v>420.88</v>
      </c>
      <c r="G58" s="9">
        <f t="shared" si="5"/>
        <v>2946.16</v>
      </c>
      <c r="H58" s="115">
        <v>2700</v>
      </c>
      <c r="I58" s="129"/>
      <c r="J58" s="129"/>
      <c r="K58" s="119"/>
      <c r="L58" s="12"/>
      <c r="M58" s="22">
        <f t="shared" si="7"/>
        <v>0</v>
      </c>
      <c r="N58" s="14">
        <f t="shared" si="2"/>
        <v>2700</v>
      </c>
      <c r="O58" s="5">
        <v>0.03</v>
      </c>
      <c r="P58" s="33">
        <f t="shared" si="3"/>
        <v>0</v>
      </c>
      <c r="Q58" s="33">
        <f t="shared" si="4"/>
        <v>0</v>
      </c>
    </row>
    <row r="59" spans="1:17" s="55" customFormat="1" x14ac:dyDescent="0.25">
      <c r="A59" s="5">
        <v>309</v>
      </c>
      <c r="B59" s="6" t="s">
        <v>143</v>
      </c>
      <c r="C59" s="7">
        <v>4000</v>
      </c>
      <c r="D59" s="7">
        <v>419.88</v>
      </c>
      <c r="E59" s="8">
        <f t="shared" si="0"/>
        <v>2519.2799999999997</v>
      </c>
      <c r="F59" s="8">
        <f t="shared" si="1"/>
        <v>419.88</v>
      </c>
      <c r="G59" s="9">
        <f t="shared" si="5"/>
        <v>2939.16</v>
      </c>
      <c r="H59" s="115">
        <v>3354.4</v>
      </c>
      <c r="I59" s="129">
        <v>75</v>
      </c>
      <c r="J59" s="129"/>
      <c r="K59" s="119"/>
      <c r="L59" s="12"/>
      <c r="M59" s="22">
        <f t="shared" si="7"/>
        <v>570.59999999999991</v>
      </c>
      <c r="N59" s="14">
        <f t="shared" si="2"/>
        <v>3925</v>
      </c>
      <c r="O59" s="5">
        <v>0.03</v>
      </c>
      <c r="P59" s="33">
        <f t="shared" si="3"/>
        <v>57.059999999999995</v>
      </c>
      <c r="Q59" s="33">
        <f t="shared" si="4"/>
        <v>61.6248</v>
      </c>
    </row>
    <row r="60" spans="1:17" s="55" customFormat="1" x14ac:dyDescent="0.25">
      <c r="A60" s="5">
        <v>310</v>
      </c>
      <c r="B60" s="6" t="s">
        <v>147</v>
      </c>
      <c r="C60" s="7">
        <v>5000</v>
      </c>
      <c r="D60" s="7">
        <v>419.88</v>
      </c>
      <c r="E60" s="8">
        <f t="shared" si="0"/>
        <v>2519.2799999999997</v>
      </c>
      <c r="F60" s="8">
        <f t="shared" si="1"/>
        <v>419.88</v>
      </c>
      <c r="G60" s="9">
        <f t="shared" si="5"/>
        <v>2939.16</v>
      </c>
      <c r="H60" s="115">
        <v>3354.2</v>
      </c>
      <c r="I60" s="129">
        <v>300</v>
      </c>
      <c r="J60" s="129"/>
      <c r="K60" s="119"/>
      <c r="L60" s="12"/>
      <c r="M60" s="22">
        <f t="shared" si="7"/>
        <v>1345.8000000000002</v>
      </c>
      <c r="N60" s="14">
        <f t="shared" ref="N60:N65" si="8">H60+M60</f>
        <v>4700</v>
      </c>
      <c r="O60" s="5">
        <v>0.03</v>
      </c>
      <c r="P60" s="33">
        <f t="shared" si="3"/>
        <v>134.58000000000001</v>
      </c>
      <c r="Q60" s="33">
        <f t="shared" si="4"/>
        <v>145.34640000000002</v>
      </c>
    </row>
    <row r="61" spans="1:17" s="55" customFormat="1" x14ac:dyDescent="0.25">
      <c r="A61" s="5">
        <v>311</v>
      </c>
      <c r="B61" s="6" t="s">
        <v>149</v>
      </c>
      <c r="C61" s="7">
        <v>4000</v>
      </c>
      <c r="D61" s="7">
        <v>419.88</v>
      </c>
      <c r="E61" s="8">
        <f t="shared" si="0"/>
        <v>2519.2799999999997</v>
      </c>
      <c r="F61" s="8">
        <f t="shared" si="1"/>
        <v>419.88</v>
      </c>
      <c r="G61" s="9">
        <f t="shared" si="5"/>
        <v>2939.16</v>
      </c>
      <c r="H61" s="115">
        <v>3354.4</v>
      </c>
      <c r="I61" s="129">
        <v>225</v>
      </c>
      <c r="J61" s="129">
        <v>70</v>
      </c>
      <c r="K61" s="119"/>
      <c r="L61" s="12"/>
      <c r="M61" s="22">
        <f t="shared" si="7"/>
        <v>350.59999999999991</v>
      </c>
      <c r="N61" s="14">
        <f t="shared" si="8"/>
        <v>3705</v>
      </c>
      <c r="O61" s="5">
        <v>0.03</v>
      </c>
      <c r="P61" s="33">
        <f t="shared" si="3"/>
        <v>35.059999999999995</v>
      </c>
      <c r="Q61" s="33">
        <f t="shared" si="4"/>
        <v>37.864799999999995</v>
      </c>
    </row>
    <row r="62" spans="1:17" s="55" customFormat="1" x14ac:dyDescent="0.25">
      <c r="A62" s="5">
        <v>312</v>
      </c>
      <c r="B62" s="6" t="s">
        <v>151</v>
      </c>
      <c r="C62" s="7">
        <v>4000</v>
      </c>
      <c r="D62" s="7">
        <v>419.88</v>
      </c>
      <c r="E62" s="8">
        <f t="shared" si="0"/>
        <v>2519.2799999999997</v>
      </c>
      <c r="F62" s="8">
        <f t="shared" si="1"/>
        <v>419.88</v>
      </c>
      <c r="G62" s="9">
        <f t="shared" si="5"/>
        <v>2939.16</v>
      </c>
      <c r="H62" s="127">
        <v>3354.2</v>
      </c>
      <c r="I62" s="129"/>
      <c r="J62" s="129"/>
      <c r="K62" s="119"/>
      <c r="L62" s="12"/>
      <c r="M62" s="22">
        <f t="shared" si="7"/>
        <v>645.80000000000018</v>
      </c>
      <c r="N62" s="14">
        <f t="shared" si="8"/>
        <v>4000</v>
      </c>
      <c r="O62" s="5">
        <v>0.03</v>
      </c>
      <c r="P62" s="33">
        <f>+M62*0.1</f>
        <v>64.580000000000027</v>
      </c>
      <c r="Q62" s="33">
        <f t="shared" si="4"/>
        <v>69.746400000000037</v>
      </c>
    </row>
    <row r="63" spans="1:17" s="55" customFormat="1" x14ac:dyDescent="0.25">
      <c r="A63" s="5">
        <v>313</v>
      </c>
      <c r="B63" s="6" t="s">
        <v>152</v>
      </c>
      <c r="C63" s="7">
        <v>3500</v>
      </c>
      <c r="D63" s="7">
        <v>419.88</v>
      </c>
      <c r="E63" s="8">
        <f t="shared" si="0"/>
        <v>2519.2799999999997</v>
      </c>
      <c r="F63" s="8">
        <f t="shared" si="1"/>
        <v>419.88</v>
      </c>
      <c r="G63" s="9">
        <f t="shared" si="5"/>
        <v>2939.16</v>
      </c>
      <c r="H63" s="127">
        <v>3275.2</v>
      </c>
      <c r="I63" s="129">
        <v>225</v>
      </c>
      <c r="J63" s="129"/>
      <c r="K63" s="119"/>
      <c r="L63" s="12"/>
      <c r="M63" s="22">
        <f>C63-H63-I63+L63-K63-J63+0.2</f>
        <v>1.819100425848319E-13</v>
      </c>
      <c r="N63" s="14">
        <f t="shared" si="8"/>
        <v>3275.2</v>
      </c>
      <c r="O63" s="5">
        <v>0.03</v>
      </c>
      <c r="P63" s="33">
        <f>+M63*0.1</f>
        <v>1.8191004258483192E-14</v>
      </c>
      <c r="Q63" s="33">
        <f t="shared" si="4"/>
        <v>1.9646284599161848E-14</v>
      </c>
    </row>
    <row r="64" spans="1:17" s="55" customFormat="1" x14ac:dyDescent="0.25">
      <c r="A64" s="5">
        <v>314</v>
      </c>
      <c r="B64" s="6" t="s">
        <v>154</v>
      </c>
      <c r="C64" s="7">
        <v>7500</v>
      </c>
      <c r="D64" s="7">
        <v>419.88</v>
      </c>
      <c r="E64" s="8">
        <f t="shared" si="0"/>
        <v>2519.2799999999997</v>
      </c>
      <c r="F64" s="8">
        <f t="shared" si="1"/>
        <v>419.88</v>
      </c>
      <c r="G64" s="9">
        <f t="shared" si="5"/>
        <v>2939.16</v>
      </c>
      <c r="H64" s="127">
        <v>3354.4</v>
      </c>
      <c r="I64" s="129"/>
      <c r="J64" s="129"/>
      <c r="K64" s="119"/>
      <c r="L64" s="12"/>
      <c r="M64" s="22">
        <f t="shared" si="7"/>
        <v>4145.6000000000004</v>
      </c>
      <c r="N64" s="14">
        <f t="shared" si="8"/>
        <v>7500</v>
      </c>
      <c r="O64" s="5">
        <v>0.03</v>
      </c>
      <c r="P64" s="33">
        <f>+M64*0.1</f>
        <v>414.56000000000006</v>
      </c>
      <c r="Q64" s="33">
        <f t="shared" si="4"/>
        <v>447.72480000000007</v>
      </c>
    </row>
    <row r="65" spans="1:17" s="55" customFormat="1" x14ac:dyDescent="0.25">
      <c r="A65" s="5">
        <v>315</v>
      </c>
      <c r="B65" s="6" t="s">
        <v>155</v>
      </c>
      <c r="C65" s="7">
        <v>3500</v>
      </c>
      <c r="D65" s="7">
        <v>419.88</v>
      </c>
      <c r="E65" s="8">
        <f t="shared" si="0"/>
        <v>2519.2799999999997</v>
      </c>
      <c r="F65" s="8">
        <f t="shared" si="1"/>
        <v>419.88</v>
      </c>
      <c r="G65" s="9">
        <f t="shared" si="5"/>
        <v>2939.16</v>
      </c>
      <c r="H65" s="127">
        <v>3354.4</v>
      </c>
      <c r="I65" s="129"/>
      <c r="J65" s="129"/>
      <c r="K65" s="119"/>
      <c r="L65" s="12"/>
      <c r="M65" s="22">
        <f t="shared" si="7"/>
        <v>145.59999999999991</v>
      </c>
      <c r="N65" s="14">
        <f t="shared" si="8"/>
        <v>3500</v>
      </c>
      <c r="O65" s="5">
        <v>0.03</v>
      </c>
      <c r="P65" s="33">
        <f>+M65*0.1</f>
        <v>14.559999999999992</v>
      </c>
      <c r="Q65" s="33">
        <f t="shared" si="4"/>
        <v>15.724799999999991</v>
      </c>
    </row>
    <row r="66" spans="1:17" s="55" customFormat="1" ht="16.149999999999999" customHeight="1" thickBot="1" x14ac:dyDescent="0.3">
      <c r="A66"/>
      <c r="B66"/>
      <c r="C66"/>
      <c r="D66"/>
      <c r="E66"/>
      <c r="F66"/>
      <c r="G66"/>
      <c r="H66" s="117"/>
      <c r="I66"/>
      <c r="J66"/>
      <c r="K66"/>
      <c r="L66"/>
      <c r="M66"/>
      <c r="N66"/>
      <c r="O66"/>
      <c r="P66"/>
      <c r="Q66"/>
    </row>
    <row r="67" spans="1:17" ht="18" thickBot="1" x14ac:dyDescent="0.35">
      <c r="A67" s="23"/>
      <c r="B67" s="24"/>
      <c r="C67" s="25">
        <f t="shared" ref="C67:N67" si="9">SUM(C4:C66)</f>
        <v>308575</v>
      </c>
      <c r="D67" s="25">
        <f t="shared" si="9"/>
        <v>26033.560000000009</v>
      </c>
      <c r="E67" s="25">
        <f t="shared" si="9"/>
        <v>156201.35999999996</v>
      </c>
      <c r="F67" s="25">
        <f t="shared" si="9"/>
        <v>26033.560000000009</v>
      </c>
      <c r="G67" s="25">
        <f t="shared" si="9"/>
        <v>182234.92000000016</v>
      </c>
      <c r="H67" s="118">
        <f>SUM(H4:H66)</f>
        <v>195831.59999999992</v>
      </c>
      <c r="I67" s="26">
        <f t="shared" si="9"/>
        <v>8775</v>
      </c>
      <c r="J67" s="26">
        <f t="shared" si="9"/>
        <v>2275</v>
      </c>
      <c r="K67" s="26">
        <f t="shared" si="9"/>
        <v>20839.269999999993</v>
      </c>
      <c r="L67" s="27">
        <f t="shared" si="9"/>
        <v>6160.71</v>
      </c>
      <c r="M67" s="25">
        <f t="shared" si="9"/>
        <v>87015.18000000008</v>
      </c>
      <c r="N67" s="25">
        <f t="shared" si="9"/>
        <v>282846.77999999997</v>
      </c>
      <c r="P67" s="25">
        <f>SUM(P4:P66)</f>
        <v>8701.5180000000055</v>
      </c>
      <c r="Q67" s="25">
        <f>SUM(Q4:Q66)</f>
        <v>9397.6394400000008</v>
      </c>
    </row>
    <row r="68" spans="1:17" x14ac:dyDescent="0.25">
      <c r="I68" s="15">
        <f>I67/75</f>
        <v>117</v>
      </c>
      <c r="J68" s="15">
        <f>J67/35</f>
        <v>65</v>
      </c>
    </row>
    <row r="71" spans="1:17" x14ac:dyDescent="0.25">
      <c r="H71"/>
    </row>
  </sheetData>
  <autoFilter ref="A3:Q65" xr:uid="{00000000-0009-0000-0000-000019000000}"/>
  <mergeCells count="2">
    <mergeCell ref="A1:N1"/>
    <mergeCell ref="A2:N2"/>
  </mergeCells>
  <pageMargins left="0.25" right="0.25" top="0.75" bottom="0.75" header="0.3" footer="0.3"/>
  <pageSetup scale="62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pageSetUpPr fitToPage="1"/>
  </sheetPr>
  <dimension ref="A1:R64"/>
  <sheetViews>
    <sheetView showGridLines="0" topLeftCell="C37" zoomScaleNormal="100" workbookViewId="0">
      <selection activeCell="L55" sqref="L55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79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4</v>
      </c>
      <c r="B4" s="6" t="s">
        <v>13</v>
      </c>
      <c r="C4" s="7">
        <v>7500</v>
      </c>
      <c r="D4" s="7">
        <v>419.88</v>
      </c>
      <c r="E4" s="8">
        <f>D4*6</f>
        <v>2519.2799999999997</v>
      </c>
      <c r="F4" s="8">
        <f>$D$4</f>
        <v>419.88</v>
      </c>
      <c r="G4" s="9">
        <f>E4+F4</f>
        <v>2939.16</v>
      </c>
      <c r="H4" s="37">
        <v>2633.8</v>
      </c>
      <c r="I4" s="10">
        <v>225</v>
      </c>
      <c r="J4" s="10">
        <v>0</v>
      </c>
      <c r="K4" s="16">
        <v>400.21</v>
      </c>
      <c r="L4" s="12"/>
      <c r="M4" s="13">
        <f>C4-H4-I4+L4-K4-J4</f>
        <v>4240.99</v>
      </c>
      <c r="N4" s="14">
        <f t="shared" ref="N4:N56" si="0">H4+M4</f>
        <v>6874.79</v>
      </c>
      <c r="O4" s="34" t="s">
        <v>48</v>
      </c>
      <c r="P4" s="33">
        <f t="shared" ref="P4:P56" si="1">+M4*0.1</f>
        <v>424.09899999999999</v>
      </c>
      <c r="Q4" s="33">
        <f t="shared" ref="Q4:Q56" si="2">+P4*1.08</f>
        <v>458.02692000000002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6" si="3">D5*6</f>
        <v>2519.2799999999997</v>
      </c>
      <c r="F5" s="8">
        <f>$D$4</f>
        <v>419.88</v>
      </c>
      <c r="G5" s="9">
        <f t="shared" ref="G5:G56" si="4">E5+F5</f>
        <v>2939.16</v>
      </c>
      <c r="H5" s="37">
        <v>3102</v>
      </c>
      <c r="I5" s="10">
        <v>225</v>
      </c>
      <c r="J5" s="10">
        <v>0</v>
      </c>
      <c r="K5" s="11"/>
      <c r="L5" s="12"/>
      <c r="M5" s="13">
        <f>C5-H5-I5+L5-K5-J5</f>
        <v>673</v>
      </c>
      <c r="N5" s="14">
        <f t="shared" si="0"/>
        <v>3775</v>
      </c>
      <c r="O5" s="29" t="s">
        <v>47</v>
      </c>
      <c r="P5" s="33">
        <f t="shared" si="1"/>
        <v>67.3</v>
      </c>
      <c r="Q5" s="33">
        <f t="shared" si="2"/>
        <v>72.683999999999997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ref="F6:F14" si="5">$D$4</f>
        <v>419.88</v>
      </c>
      <c r="G6" s="9">
        <f t="shared" si="4"/>
        <v>2939.16</v>
      </c>
      <c r="H6" s="38">
        <v>3174.8</v>
      </c>
      <c r="I6" s="18">
        <v>0</v>
      </c>
      <c r="J6" s="18">
        <v>140</v>
      </c>
      <c r="K6" s="11"/>
      <c r="L6" s="12"/>
      <c r="M6" s="13">
        <f t="shared" ref="M6:M56" si="6">C6-H6-I6+L6-K6-J6</f>
        <v>11685.2</v>
      </c>
      <c r="N6" s="14">
        <f t="shared" si="0"/>
        <v>14860</v>
      </c>
      <c r="O6" s="30" t="s">
        <v>47</v>
      </c>
      <c r="P6" s="33">
        <f t="shared" si="1"/>
        <v>1168.5200000000002</v>
      </c>
      <c r="Q6" s="33">
        <f t="shared" si="2"/>
        <v>1262.0016000000003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5"/>
        <v>419.88</v>
      </c>
      <c r="G7" s="9">
        <f t="shared" si="4"/>
        <v>2939.16</v>
      </c>
      <c r="H7" s="38">
        <v>3103.2</v>
      </c>
      <c r="I7" s="10">
        <v>75</v>
      </c>
      <c r="J7" s="10">
        <v>140</v>
      </c>
      <c r="K7" s="21"/>
      <c r="L7" s="12"/>
      <c r="M7" s="13">
        <f t="shared" si="6"/>
        <v>681.80000000000018</v>
      </c>
      <c r="N7" s="14">
        <f t="shared" si="0"/>
        <v>3785</v>
      </c>
      <c r="O7" s="36" t="s">
        <v>47</v>
      </c>
      <c r="P7" s="33">
        <f t="shared" si="1"/>
        <v>68.180000000000021</v>
      </c>
      <c r="Q7" s="33">
        <f t="shared" si="2"/>
        <v>73.634400000000028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5"/>
        <v>419.88</v>
      </c>
      <c r="G8" s="9">
        <f t="shared" si="4"/>
        <v>2939.16</v>
      </c>
      <c r="H8" s="37">
        <v>3103.4</v>
      </c>
      <c r="I8" s="10">
        <v>75</v>
      </c>
      <c r="J8" s="10">
        <v>0</v>
      </c>
      <c r="K8" s="11"/>
      <c r="L8" s="12"/>
      <c r="M8" s="13">
        <f t="shared" si="6"/>
        <v>1321.6</v>
      </c>
      <c r="N8" s="14">
        <f t="shared" si="0"/>
        <v>4425</v>
      </c>
      <c r="O8" s="30" t="s">
        <v>47</v>
      </c>
      <c r="P8" s="33">
        <f t="shared" si="1"/>
        <v>132.16</v>
      </c>
      <c r="Q8" s="33">
        <f t="shared" si="2"/>
        <v>142.7328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5"/>
        <v>419.88</v>
      </c>
      <c r="G9" s="9">
        <f t="shared" si="4"/>
        <v>2939.16</v>
      </c>
      <c r="H9" s="37">
        <v>2844.2</v>
      </c>
      <c r="I9" s="10">
        <v>75</v>
      </c>
      <c r="J9" s="10">
        <v>105</v>
      </c>
      <c r="K9" s="16">
        <v>257.74</v>
      </c>
      <c r="L9" s="19"/>
      <c r="M9" s="13">
        <f>C9-H9-I9+L9-K9-J9</f>
        <v>718.06000000000017</v>
      </c>
      <c r="N9" s="14">
        <f t="shared" si="0"/>
        <v>3562.26</v>
      </c>
      <c r="O9" s="30" t="s">
        <v>47</v>
      </c>
      <c r="P9" s="33">
        <f t="shared" si="1"/>
        <v>71.806000000000026</v>
      </c>
      <c r="Q9" s="33">
        <f t="shared" si="2"/>
        <v>77.550480000000036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5"/>
        <v>419.88</v>
      </c>
      <c r="G10" s="9">
        <f t="shared" si="4"/>
        <v>2939.16</v>
      </c>
      <c r="H10" s="37">
        <v>3102</v>
      </c>
      <c r="I10" s="10">
        <v>0</v>
      </c>
      <c r="J10" s="10">
        <v>0</v>
      </c>
      <c r="K10" s="20"/>
      <c r="L10" s="19"/>
      <c r="M10" s="13">
        <f t="shared" si="6"/>
        <v>898</v>
      </c>
      <c r="N10" s="14">
        <f t="shared" si="0"/>
        <v>4000</v>
      </c>
      <c r="O10" s="30" t="s">
        <v>49</v>
      </c>
      <c r="P10" s="33">
        <f t="shared" si="1"/>
        <v>89.800000000000011</v>
      </c>
      <c r="Q10" s="33">
        <f t="shared" si="2"/>
        <v>96.984000000000023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5"/>
        <v>419.88</v>
      </c>
      <c r="G11" s="9">
        <f t="shared" si="4"/>
        <v>2939.16</v>
      </c>
      <c r="H11" s="37">
        <v>3102</v>
      </c>
      <c r="I11" s="10">
        <v>0</v>
      </c>
      <c r="J11" s="10">
        <v>105</v>
      </c>
      <c r="K11" s="11"/>
      <c r="L11" s="19"/>
      <c r="M11" s="13">
        <f>C11-H11-I11+L11-K11-J11</f>
        <v>3793</v>
      </c>
      <c r="N11" s="14">
        <f t="shared" si="0"/>
        <v>6895</v>
      </c>
      <c r="O11" s="30" t="s">
        <v>47</v>
      </c>
      <c r="P11" s="33">
        <f t="shared" si="1"/>
        <v>379.3</v>
      </c>
      <c r="Q11" s="33">
        <f t="shared" si="2"/>
        <v>409.64400000000006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5"/>
        <v>419.88</v>
      </c>
      <c r="G12" s="9">
        <f t="shared" si="4"/>
        <v>2939.16</v>
      </c>
      <c r="H12" s="37">
        <v>3107.8</v>
      </c>
      <c r="I12" s="10">
        <v>75</v>
      </c>
      <c r="J12" s="10">
        <v>105</v>
      </c>
      <c r="K12" s="21"/>
      <c r="L12" s="12"/>
      <c r="M12" s="13">
        <f>C12-H12-I12+L12-K12-J12</f>
        <v>1712.1999999999998</v>
      </c>
      <c r="N12" s="14">
        <f t="shared" si="0"/>
        <v>4820</v>
      </c>
      <c r="O12" s="30" t="s">
        <v>47</v>
      </c>
      <c r="P12" s="33">
        <f t="shared" si="1"/>
        <v>171.22</v>
      </c>
      <c r="Q12" s="33">
        <f t="shared" si="2"/>
        <v>184.91760000000002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5"/>
        <v>419.88</v>
      </c>
      <c r="G13" s="9">
        <f t="shared" si="4"/>
        <v>2939.16</v>
      </c>
      <c r="H13" s="37">
        <v>3131.6</v>
      </c>
      <c r="I13" s="10">
        <v>0</v>
      </c>
      <c r="J13" s="10">
        <v>140</v>
      </c>
      <c r="K13" s="21"/>
      <c r="L13" s="12"/>
      <c r="M13" s="13">
        <f>C13-H13-I13+L13-K13-J13</f>
        <v>228.40000000000009</v>
      </c>
      <c r="N13" s="14">
        <f t="shared" si="0"/>
        <v>3360</v>
      </c>
      <c r="O13" s="30" t="s">
        <v>47</v>
      </c>
      <c r="P13" s="33">
        <f t="shared" si="1"/>
        <v>22.840000000000011</v>
      </c>
      <c r="Q13" s="33">
        <f t="shared" si="2"/>
        <v>24.667200000000012</v>
      </c>
    </row>
    <row r="14" spans="1:17" x14ac:dyDescent="0.25">
      <c r="A14" s="36">
        <v>149</v>
      </c>
      <c r="B14" s="6" t="s">
        <v>23</v>
      </c>
      <c r="C14" s="7">
        <v>3500</v>
      </c>
      <c r="D14" s="7">
        <v>419.88</v>
      </c>
      <c r="E14" s="8">
        <f t="shared" si="3"/>
        <v>2519.2799999999997</v>
      </c>
      <c r="F14" s="8">
        <f t="shared" si="5"/>
        <v>419.88</v>
      </c>
      <c r="G14" s="9">
        <f t="shared" si="4"/>
        <v>2939.16</v>
      </c>
      <c r="H14" s="38">
        <v>2806.2</v>
      </c>
      <c r="I14" s="10">
        <v>0</v>
      </c>
      <c r="J14" s="10">
        <v>140</v>
      </c>
      <c r="K14" s="21">
        <v>335.9</v>
      </c>
      <c r="L14" s="12">
        <v>375</v>
      </c>
      <c r="M14" s="13">
        <f>C14-H14-I14+L14-K14-J14</f>
        <v>592.9000000000002</v>
      </c>
      <c r="N14" s="14">
        <f t="shared" si="0"/>
        <v>3399.1</v>
      </c>
      <c r="O14" s="36" t="s">
        <v>47</v>
      </c>
      <c r="P14" s="33">
        <f t="shared" si="1"/>
        <v>59.29000000000002</v>
      </c>
      <c r="Q14" s="33">
        <f t="shared" si="2"/>
        <v>64.033200000000022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ref="F15:F21" si="7">$D$4</f>
        <v>419.88</v>
      </c>
      <c r="G15" s="9">
        <f t="shared" si="4"/>
        <v>2939.16</v>
      </c>
      <c r="H15" s="37">
        <v>3101.8</v>
      </c>
      <c r="I15" s="10">
        <v>0</v>
      </c>
      <c r="J15" s="10">
        <v>0</v>
      </c>
      <c r="K15" s="22"/>
      <c r="L15" s="12"/>
      <c r="M15" s="13">
        <f t="shared" si="6"/>
        <v>898.19999999999982</v>
      </c>
      <c r="N15" s="14">
        <f t="shared" si="0"/>
        <v>4000</v>
      </c>
      <c r="O15" s="30" t="s">
        <v>47</v>
      </c>
      <c r="P15" s="33">
        <f t="shared" si="1"/>
        <v>89.82</v>
      </c>
      <c r="Q15" s="33">
        <f t="shared" si="2"/>
        <v>97.005600000000001</v>
      </c>
    </row>
    <row r="16" spans="1:17" x14ac:dyDescent="0.25">
      <c r="A16" s="5">
        <v>151</v>
      </c>
      <c r="B16" s="6" t="s">
        <v>25</v>
      </c>
      <c r="C16" s="7">
        <v>3500</v>
      </c>
      <c r="D16" s="7">
        <v>419.88</v>
      </c>
      <c r="E16" s="8">
        <f t="shared" si="3"/>
        <v>2519.2799999999997</v>
      </c>
      <c r="F16" s="8">
        <f t="shared" si="7"/>
        <v>419.88</v>
      </c>
      <c r="G16" s="9">
        <f t="shared" si="4"/>
        <v>2939.16</v>
      </c>
      <c r="H16" s="37">
        <v>2669.4</v>
      </c>
      <c r="I16" s="10">
        <v>75</v>
      </c>
      <c r="J16" s="10">
        <v>140</v>
      </c>
      <c r="K16" s="21">
        <v>585</v>
      </c>
      <c r="L16" s="12"/>
      <c r="M16" s="13">
        <f t="shared" si="6"/>
        <v>30.599999999999909</v>
      </c>
      <c r="N16" s="14">
        <f t="shared" si="0"/>
        <v>2700</v>
      </c>
      <c r="O16" s="29" t="s">
        <v>47</v>
      </c>
      <c r="P16" s="33">
        <f t="shared" si="1"/>
        <v>3.0599999999999912</v>
      </c>
      <c r="Q16" s="33">
        <f t="shared" si="2"/>
        <v>3.3047999999999909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7"/>
        <v>419.88</v>
      </c>
      <c r="G17" s="9">
        <f t="shared" si="4"/>
        <v>2939.16</v>
      </c>
      <c r="H17" s="37">
        <v>3107.8</v>
      </c>
      <c r="I17" s="10">
        <v>0</v>
      </c>
      <c r="J17" s="10">
        <v>0</v>
      </c>
      <c r="K17" s="21"/>
      <c r="L17" s="19"/>
      <c r="M17" s="13">
        <f t="shared" si="6"/>
        <v>892.19999999999982</v>
      </c>
      <c r="N17" s="14">
        <f t="shared" si="0"/>
        <v>4000</v>
      </c>
      <c r="O17" s="29" t="s">
        <v>47</v>
      </c>
      <c r="P17" s="33">
        <f t="shared" si="1"/>
        <v>89.219999999999985</v>
      </c>
      <c r="Q17" s="33">
        <f t="shared" si="2"/>
        <v>96.357599999999991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7"/>
        <v>419.88</v>
      </c>
      <c r="G18" s="9">
        <f t="shared" si="4"/>
        <v>2939.16</v>
      </c>
      <c r="H18" s="37">
        <v>3279.4</v>
      </c>
      <c r="I18" s="10">
        <v>0</v>
      </c>
      <c r="J18" s="10">
        <v>70</v>
      </c>
      <c r="K18" s="11"/>
      <c r="L18" s="12"/>
      <c r="M18" s="13">
        <f t="shared" si="6"/>
        <v>650.59999999999991</v>
      </c>
      <c r="N18" s="14">
        <f t="shared" si="0"/>
        <v>3930</v>
      </c>
      <c r="O18" s="29" t="s">
        <v>47</v>
      </c>
      <c r="P18" s="33">
        <f t="shared" si="1"/>
        <v>65.059999999999988</v>
      </c>
      <c r="Q18" s="33">
        <f t="shared" si="2"/>
        <v>70.264799999999994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7"/>
        <v>419.88</v>
      </c>
      <c r="G19" s="9">
        <f t="shared" si="4"/>
        <v>2939.16</v>
      </c>
      <c r="H19" s="37">
        <v>2092.8000000000002</v>
      </c>
      <c r="I19" s="10">
        <v>0</v>
      </c>
      <c r="J19" s="10">
        <v>0</v>
      </c>
      <c r="K19" s="16">
        <v>938.81</v>
      </c>
      <c r="L19" s="19"/>
      <c r="M19" s="13">
        <f t="shared" si="6"/>
        <v>6968.3899999999994</v>
      </c>
      <c r="N19" s="14">
        <f t="shared" si="0"/>
        <v>9061.1899999999987</v>
      </c>
      <c r="O19" s="29" t="s">
        <v>50</v>
      </c>
      <c r="P19" s="33">
        <f t="shared" si="1"/>
        <v>696.83899999999994</v>
      </c>
      <c r="Q19" s="33">
        <f t="shared" si="2"/>
        <v>752.58611999999994</v>
      </c>
    </row>
    <row r="20" spans="1:17" x14ac:dyDescent="0.25">
      <c r="A20" s="5">
        <v>184</v>
      </c>
      <c r="B20" s="6" t="s">
        <v>29</v>
      </c>
      <c r="C20" s="7">
        <v>7000</v>
      </c>
      <c r="D20" s="7">
        <v>419.88</v>
      </c>
      <c r="E20" s="8">
        <f t="shared" si="3"/>
        <v>2519.2799999999997</v>
      </c>
      <c r="F20" s="8">
        <f t="shared" si="7"/>
        <v>419.88</v>
      </c>
      <c r="G20" s="9">
        <f t="shared" si="4"/>
        <v>2939.16</v>
      </c>
      <c r="H20" s="37">
        <v>3101.8</v>
      </c>
      <c r="I20" s="10">
        <v>225</v>
      </c>
      <c r="J20" s="10">
        <v>140</v>
      </c>
      <c r="K20" s="21"/>
      <c r="L20" s="19"/>
      <c r="M20" s="13">
        <f t="shared" si="6"/>
        <v>3533.2</v>
      </c>
      <c r="N20" s="14">
        <f t="shared" si="0"/>
        <v>6635</v>
      </c>
      <c r="O20" s="29" t="s">
        <v>47</v>
      </c>
      <c r="P20" s="33">
        <f t="shared" si="1"/>
        <v>353.32</v>
      </c>
      <c r="Q20" s="33">
        <f t="shared" si="2"/>
        <v>381.5856</v>
      </c>
    </row>
    <row r="21" spans="1:17" s="55" customFormat="1" x14ac:dyDescent="0.25">
      <c r="A21" s="5">
        <v>199</v>
      </c>
      <c r="B21" s="6" t="s">
        <v>31</v>
      </c>
      <c r="C21" s="7">
        <v>4000</v>
      </c>
      <c r="D21" s="7">
        <v>419.88</v>
      </c>
      <c r="E21" s="8">
        <f t="shared" si="3"/>
        <v>2519.2799999999997</v>
      </c>
      <c r="F21" s="8">
        <f t="shared" si="7"/>
        <v>419.88</v>
      </c>
      <c r="G21" s="9">
        <f t="shared" si="4"/>
        <v>2939.16</v>
      </c>
      <c r="H21" s="37">
        <v>3101.8</v>
      </c>
      <c r="I21" s="10">
        <v>0</v>
      </c>
      <c r="J21" s="10">
        <v>0</v>
      </c>
      <c r="K21" s="16">
        <v>500</v>
      </c>
      <c r="L21" s="19"/>
      <c r="M21" s="13">
        <f t="shared" si="6"/>
        <v>398.19999999999982</v>
      </c>
      <c r="N21" s="14">
        <f t="shared" si="0"/>
        <v>3500</v>
      </c>
      <c r="O21" s="29" t="s">
        <v>47</v>
      </c>
      <c r="P21" s="33">
        <f t="shared" si="1"/>
        <v>39.819999999999986</v>
      </c>
      <c r="Q21" s="33">
        <f t="shared" si="2"/>
        <v>43.005599999999987</v>
      </c>
    </row>
    <row r="22" spans="1:17" s="55" customFormat="1" ht="13.5" customHeight="1" x14ac:dyDescent="0.25">
      <c r="A22" s="5">
        <v>204</v>
      </c>
      <c r="B22" s="6" t="s">
        <v>33</v>
      </c>
      <c r="C22" s="7">
        <v>4000</v>
      </c>
      <c r="D22" s="7">
        <v>419.88</v>
      </c>
      <c r="E22" s="8">
        <f t="shared" si="3"/>
        <v>2519.2799999999997</v>
      </c>
      <c r="F22" s="8">
        <f t="shared" ref="F22:F37" si="8">$D$4</f>
        <v>419.88</v>
      </c>
      <c r="G22" s="9">
        <f t="shared" si="4"/>
        <v>2939.16</v>
      </c>
      <c r="H22" s="37">
        <v>3101.8</v>
      </c>
      <c r="I22" s="10">
        <v>150</v>
      </c>
      <c r="J22" s="10">
        <v>140</v>
      </c>
      <c r="K22" s="11"/>
      <c r="L22" s="19"/>
      <c r="M22" s="13">
        <f t="shared" si="6"/>
        <v>608.19999999999982</v>
      </c>
      <c r="N22" s="14">
        <f t="shared" si="0"/>
        <v>3710</v>
      </c>
      <c r="O22" s="29" t="s">
        <v>47</v>
      </c>
      <c r="P22" s="33">
        <f t="shared" si="1"/>
        <v>60.819999999999986</v>
      </c>
      <c r="Q22" s="33">
        <f t="shared" si="2"/>
        <v>65.685599999999994</v>
      </c>
    </row>
    <row r="23" spans="1:17" s="55" customFormat="1" x14ac:dyDescent="0.25">
      <c r="A23" s="5">
        <v>213</v>
      </c>
      <c r="B23" s="6" t="s">
        <v>34</v>
      </c>
      <c r="C23" s="7">
        <v>3500</v>
      </c>
      <c r="D23" s="7">
        <v>419.88</v>
      </c>
      <c r="E23" s="8">
        <f t="shared" si="3"/>
        <v>2519.2799999999997</v>
      </c>
      <c r="F23" s="8">
        <f t="shared" si="8"/>
        <v>419.88</v>
      </c>
      <c r="G23" s="9">
        <f t="shared" si="4"/>
        <v>2939.16</v>
      </c>
      <c r="H23" s="37">
        <v>3107.8</v>
      </c>
      <c r="I23" s="10">
        <v>0</v>
      </c>
      <c r="J23" s="10">
        <v>0</v>
      </c>
      <c r="K23" s="11"/>
      <c r="L23" s="19"/>
      <c r="M23" s="13">
        <f t="shared" si="6"/>
        <v>392.19999999999982</v>
      </c>
      <c r="N23" s="14">
        <f t="shared" si="0"/>
        <v>3500</v>
      </c>
      <c r="O23" s="29" t="s">
        <v>50</v>
      </c>
      <c r="P23" s="33">
        <f t="shared" si="1"/>
        <v>39.219999999999985</v>
      </c>
      <c r="Q23" s="33">
        <f t="shared" si="2"/>
        <v>42.357599999999984</v>
      </c>
    </row>
    <row r="24" spans="1:17" s="55" customFormat="1" x14ac:dyDescent="0.25">
      <c r="A24" s="5">
        <v>215</v>
      </c>
      <c r="B24" s="6" t="s">
        <v>35</v>
      </c>
      <c r="C24" s="7">
        <v>5000</v>
      </c>
      <c r="D24" s="7">
        <v>419.88</v>
      </c>
      <c r="E24" s="8">
        <f t="shared" si="3"/>
        <v>2519.2799999999997</v>
      </c>
      <c r="F24" s="8">
        <f t="shared" si="8"/>
        <v>419.88</v>
      </c>
      <c r="G24" s="9">
        <f t="shared" si="4"/>
        <v>2939.16</v>
      </c>
      <c r="H24" s="37">
        <v>3106.4</v>
      </c>
      <c r="I24" s="10">
        <v>150</v>
      </c>
      <c r="J24" s="10">
        <v>70</v>
      </c>
      <c r="K24" s="21"/>
      <c r="L24" s="19"/>
      <c r="M24" s="13">
        <f t="shared" si="6"/>
        <v>1673.6</v>
      </c>
      <c r="N24" s="14">
        <f t="shared" si="0"/>
        <v>4780</v>
      </c>
      <c r="O24" s="29" t="s">
        <v>47</v>
      </c>
      <c r="P24" s="33">
        <f t="shared" si="1"/>
        <v>167.36</v>
      </c>
      <c r="Q24" s="33">
        <f t="shared" si="2"/>
        <v>180.74880000000002</v>
      </c>
    </row>
    <row r="25" spans="1:17" s="55" customFormat="1" x14ac:dyDescent="0.25">
      <c r="A25" s="5">
        <v>218</v>
      </c>
      <c r="B25" s="6" t="s">
        <v>36</v>
      </c>
      <c r="C25" s="7">
        <v>3500</v>
      </c>
      <c r="D25" s="7">
        <v>419.88</v>
      </c>
      <c r="E25" s="8">
        <f t="shared" si="3"/>
        <v>2519.2799999999997</v>
      </c>
      <c r="F25" s="8">
        <f t="shared" si="8"/>
        <v>419.88</v>
      </c>
      <c r="G25" s="9">
        <f t="shared" si="4"/>
        <v>2939.16</v>
      </c>
      <c r="H25" s="37">
        <v>3102</v>
      </c>
      <c r="I25" s="10">
        <v>0</v>
      </c>
      <c r="J25" s="10">
        <v>0</v>
      </c>
      <c r="K25" s="21"/>
      <c r="L25" s="12"/>
      <c r="M25" s="13">
        <f t="shared" si="6"/>
        <v>398</v>
      </c>
      <c r="N25" s="14">
        <f t="shared" si="0"/>
        <v>3500</v>
      </c>
      <c r="O25" s="29" t="s">
        <v>49</v>
      </c>
      <c r="P25" s="33">
        <f t="shared" si="1"/>
        <v>39.800000000000004</v>
      </c>
      <c r="Q25" s="33">
        <f t="shared" si="2"/>
        <v>42.984000000000009</v>
      </c>
    </row>
    <row r="26" spans="1:17" s="55" customFormat="1" x14ac:dyDescent="0.25">
      <c r="A26" s="36">
        <v>220</v>
      </c>
      <c r="B26" s="6" t="s">
        <v>37</v>
      </c>
      <c r="C26" s="7">
        <v>3500</v>
      </c>
      <c r="D26" s="7">
        <v>419.88</v>
      </c>
      <c r="E26" s="8">
        <f t="shared" si="3"/>
        <v>2519.2799999999997</v>
      </c>
      <c r="F26" s="8">
        <f t="shared" si="8"/>
        <v>419.88</v>
      </c>
      <c r="G26" s="9">
        <f t="shared" si="4"/>
        <v>2939.16</v>
      </c>
      <c r="H26" s="38">
        <v>3469.6</v>
      </c>
      <c r="I26" s="10">
        <v>225</v>
      </c>
      <c r="J26" s="10">
        <v>175</v>
      </c>
      <c r="K26" s="21">
        <v>0</v>
      </c>
      <c r="L26" s="12">
        <v>375</v>
      </c>
      <c r="M26" s="13">
        <f t="shared" si="6"/>
        <v>5.4000000000000909</v>
      </c>
      <c r="N26" s="14">
        <f t="shared" si="0"/>
        <v>3475</v>
      </c>
      <c r="O26" s="36" t="s">
        <v>47</v>
      </c>
      <c r="P26" s="33">
        <f t="shared" si="1"/>
        <v>0.54000000000000914</v>
      </c>
      <c r="Q26" s="33">
        <f t="shared" si="2"/>
        <v>0.58320000000000993</v>
      </c>
    </row>
    <row r="27" spans="1:17" s="55" customFormat="1" x14ac:dyDescent="0.25">
      <c r="A27" s="5">
        <v>221</v>
      </c>
      <c r="B27" s="6" t="s">
        <v>38</v>
      </c>
      <c r="C27" s="7">
        <v>4000</v>
      </c>
      <c r="D27" s="7">
        <v>419.88</v>
      </c>
      <c r="E27" s="8">
        <f t="shared" si="3"/>
        <v>2519.2799999999997</v>
      </c>
      <c r="F27" s="8">
        <f t="shared" si="8"/>
        <v>419.88</v>
      </c>
      <c r="G27" s="9">
        <f t="shared" si="4"/>
        <v>2939.16</v>
      </c>
      <c r="H27" s="37">
        <v>3101.8</v>
      </c>
      <c r="I27" s="10">
        <v>225</v>
      </c>
      <c r="J27" s="10">
        <v>140</v>
      </c>
      <c r="K27" s="21"/>
      <c r="L27" s="39"/>
      <c r="M27" s="13">
        <f t="shared" si="6"/>
        <v>533.19999999999982</v>
      </c>
      <c r="N27" s="14">
        <f t="shared" si="0"/>
        <v>3635</v>
      </c>
      <c r="O27" s="29" t="s">
        <v>47</v>
      </c>
      <c r="P27" s="33">
        <f t="shared" si="1"/>
        <v>53.319999999999986</v>
      </c>
      <c r="Q27" s="33">
        <f t="shared" si="2"/>
        <v>57.585599999999985</v>
      </c>
    </row>
    <row r="28" spans="1:17" s="55" customFormat="1" x14ac:dyDescent="0.25">
      <c r="A28" s="5">
        <v>222</v>
      </c>
      <c r="B28" s="6" t="s">
        <v>39</v>
      </c>
      <c r="C28" s="7">
        <v>7000</v>
      </c>
      <c r="D28" s="7">
        <v>419.88</v>
      </c>
      <c r="E28" s="8">
        <f t="shared" si="3"/>
        <v>2519.2799999999997</v>
      </c>
      <c r="F28" s="8">
        <f t="shared" si="8"/>
        <v>419.88</v>
      </c>
      <c r="G28" s="9">
        <f t="shared" si="4"/>
        <v>2939.16</v>
      </c>
      <c r="H28" s="37">
        <v>3102</v>
      </c>
      <c r="I28" s="10">
        <v>225</v>
      </c>
      <c r="J28" s="10">
        <v>140</v>
      </c>
      <c r="K28" s="21"/>
      <c r="L28" s="19"/>
      <c r="M28" s="13">
        <f t="shared" si="6"/>
        <v>3533</v>
      </c>
      <c r="N28" s="14">
        <f t="shared" si="0"/>
        <v>6635</v>
      </c>
      <c r="O28" s="29" t="s">
        <v>47</v>
      </c>
      <c r="P28" s="33">
        <f t="shared" si="1"/>
        <v>353.3</v>
      </c>
      <c r="Q28" s="33">
        <f t="shared" si="2"/>
        <v>381.56400000000002</v>
      </c>
    </row>
    <row r="29" spans="1:17" s="55" customFormat="1" x14ac:dyDescent="0.25">
      <c r="A29" s="5">
        <v>226</v>
      </c>
      <c r="B29" s="6" t="s">
        <v>40</v>
      </c>
      <c r="C29" s="7">
        <v>7500</v>
      </c>
      <c r="D29" s="7">
        <v>419.88</v>
      </c>
      <c r="E29" s="8">
        <f t="shared" si="3"/>
        <v>2519.2799999999997</v>
      </c>
      <c r="F29" s="8">
        <f t="shared" si="8"/>
        <v>419.88</v>
      </c>
      <c r="G29" s="9">
        <f t="shared" si="4"/>
        <v>2939.16</v>
      </c>
      <c r="H29" s="37">
        <v>3142.4</v>
      </c>
      <c r="I29" s="10">
        <v>225</v>
      </c>
      <c r="J29" s="10">
        <v>175</v>
      </c>
      <c r="K29" s="21"/>
      <c r="L29" s="12">
        <v>267.86</v>
      </c>
      <c r="M29" s="13">
        <f t="shared" si="6"/>
        <v>4225.46</v>
      </c>
      <c r="N29" s="14">
        <f t="shared" si="0"/>
        <v>7367.8600000000006</v>
      </c>
      <c r="O29" s="29" t="s">
        <v>47</v>
      </c>
      <c r="P29" s="33">
        <f t="shared" si="1"/>
        <v>422.54600000000005</v>
      </c>
      <c r="Q29" s="33">
        <f t="shared" si="2"/>
        <v>456.34968000000009</v>
      </c>
    </row>
    <row r="30" spans="1:17" s="55" customFormat="1" x14ac:dyDescent="0.25">
      <c r="A30" s="5">
        <v>227</v>
      </c>
      <c r="B30" s="6" t="s">
        <v>41</v>
      </c>
      <c r="C30" s="7">
        <v>6000</v>
      </c>
      <c r="D30" s="7">
        <v>419.88</v>
      </c>
      <c r="E30" s="8">
        <f t="shared" si="3"/>
        <v>2519.2799999999997</v>
      </c>
      <c r="F30" s="8">
        <f t="shared" si="8"/>
        <v>419.88</v>
      </c>
      <c r="G30" s="9">
        <f t="shared" si="4"/>
        <v>2939.16</v>
      </c>
      <c r="H30" s="37">
        <v>2447</v>
      </c>
      <c r="I30" s="10">
        <v>75</v>
      </c>
      <c r="J30" s="10">
        <v>140</v>
      </c>
      <c r="K30" s="21">
        <v>1247.78</v>
      </c>
      <c r="L30" s="12"/>
      <c r="M30" s="13">
        <f t="shared" si="6"/>
        <v>2090.2200000000003</v>
      </c>
      <c r="N30" s="14">
        <f t="shared" si="0"/>
        <v>4537.22</v>
      </c>
      <c r="O30" s="29" t="s">
        <v>47</v>
      </c>
      <c r="P30" s="33">
        <f t="shared" si="1"/>
        <v>209.02200000000005</v>
      </c>
      <c r="Q30" s="33">
        <f t="shared" si="2"/>
        <v>225.74376000000007</v>
      </c>
    </row>
    <row r="31" spans="1:17" s="55" customFormat="1" x14ac:dyDescent="0.25">
      <c r="A31" s="5">
        <v>233</v>
      </c>
      <c r="B31" s="6" t="s">
        <v>42</v>
      </c>
      <c r="C31" s="7">
        <v>6250</v>
      </c>
      <c r="D31" s="7">
        <v>419.88</v>
      </c>
      <c r="E31" s="8">
        <f t="shared" si="3"/>
        <v>2519.2799999999997</v>
      </c>
      <c r="F31" s="8">
        <f t="shared" si="8"/>
        <v>419.88</v>
      </c>
      <c r="G31" s="9">
        <f t="shared" si="4"/>
        <v>2939.16</v>
      </c>
      <c r="H31" s="37">
        <v>3103.4</v>
      </c>
      <c r="I31" s="10">
        <v>150</v>
      </c>
      <c r="J31" s="10">
        <v>140</v>
      </c>
      <c r="K31" s="21"/>
      <c r="L31" s="19"/>
      <c r="M31" s="13">
        <f t="shared" si="6"/>
        <v>2856.6</v>
      </c>
      <c r="N31" s="14">
        <f t="shared" si="0"/>
        <v>5960</v>
      </c>
      <c r="O31" s="31" t="s">
        <v>47</v>
      </c>
      <c r="P31" s="33">
        <f t="shared" si="1"/>
        <v>285.66000000000003</v>
      </c>
      <c r="Q31" s="33">
        <f t="shared" si="2"/>
        <v>308.51280000000003</v>
      </c>
    </row>
    <row r="32" spans="1:17" s="55" customFormat="1" x14ac:dyDescent="0.25">
      <c r="A32" s="5">
        <v>237</v>
      </c>
      <c r="B32" s="6" t="s">
        <v>43</v>
      </c>
      <c r="C32" s="7">
        <v>5000</v>
      </c>
      <c r="D32" s="7">
        <v>419.88</v>
      </c>
      <c r="E32" s="8">
        <f t="shared" si="3"/>
        <v>2519.2799999999997</v>
      </c>
      <c r="F32" s="8">
        <f t="shared" si="8"/>
        <v>419.88</v>
      </c>
      <c r="G32" s="9">
        <f t="shared" si="4"/>
        <v>2939.16</v>
      </c>
      <c r="H32" s="37">
        <v>2999.2</v>
      </c>
      <c r="I32" s="10">
        <v>0</v>
      </c>
      <c r="J32" s="10">
        <v>35</v>
      </c>
      <c r="K32" s="21">
        <v>314.27999999999997</v>
      </c>
      <c r="L32" s="19"/>
      <c r="M32" s="13">
        <f>C32-H32-I32+L32-K32-J32</f>
        <v>1651.5200000000002</v>
      </c>
      <c r="N32" s="14">
        <f>H32+M32</f>
        <v>4650.72</v>
      </c>
      <c r="O32" s="29" t="s">
        <v>47</v>
      </c>
      <c r="P32" s="33">
        <f>+M32*0.1</f>
        <v>165.15200000000004</v>
      </c>
      <c r="Q32" s="33">
        <f t="shared" si="2"/>
        <v>178.36416000000006</v>
      </c>
    </row>
    <row r="33" spans="1:17" s="55" customFormat="1" x14ac:dyDescent="0.25">
      <c r="A33" s="5">
        <v>244</v>
      </c>
      <c r="B33" s="6" t="s">
        <v>44</v>
      </c>
      <c r="C33" s="7">
        <v>5000</v>
      </c>
      <c r="D33" s="7">
        <v>419.88</v>
      </c>
      <c r="E33" s="8">
        <f t="shared" si="3"/>
        <v>2519.2799999999997</v>
      </c>
      <c r="F33" s="8">
        <f t="shared" si="8"/>
        <v>419.88</v>
      </c>
      <c r="G33" s="9">
        <f t="shared" si="4"/>
        <v>2939.16</v>
      </c>
      <c r="H33" s="37">
        <v>3102</v>
      </c>
      <c r="I33" s="10">
        <v>0</v>
      </c>
      <c r="J33" s="10">
        <v>0</v>
      </c>
      <c r="K33" s="21"/>
      <c r="L33" s="12"/>
      <c r="M33" s="13">
        <f>C33-H33-I33+L33-K33-J33</f>
        <v>1898</v>
      </c>
      <c r="N33" s="14">
        <f t="shared" si="0"/>
        <v>5000</v>
      </c>
      <c r="O33" s="29" t="s">
        <v>47</v>
      </c>
      <c r="P33" s="33">
        <f t="shared" si="1"/>
        <v>189.8</v>
      </c>
      <c r="Q33" s="33">
        <f t="shared" si="2"/>
        <v>204.98400000000004</v>
      </c>
    </row>
    <row r="34" spans="1:17" s="55" customFormat="1" x14ac:dyDescent="0.25">
      <c r="A34" s="5">
        <v>245</v>
      </c>
      <c r="B34" s="6" t="s">
        <v>45</v>
      </c>
      <c r="C34" s="7">
        <v>5000</v>
      </c>
      <c r="D34" s="7">
        <v>419.88</v>
      </c>
      <c r="E34" s="8">
        <f t="shared" si="3"/>
        <v>2519.2799999999997</v>
      </c>
      <c r="F34" s="8">
        <f t="shared" si="8"/>
        <v>419.88</v>
      </c>
      <c r="G34" s="9">
        <f t="shared" si="4"/>
        <v>2939.16</v>
      </c>
      <c r="H34" s="37">
        <v>3102</v>
      </c>
      <c r="I34" s="10">
        <v>75</v>
      </c>
      <c r="J34" s="10">
        <v>0</v>
      </c>
      <c r="K34" s="21"/>
      <c r="L34" s="19"/>
      <c r="M34" s="13">
        <f t="shared" si="6"/>
        <v>1823</v>
      </c>
      <c r="N34" s="14">
        <f t="shared" si="0"/>
        <v>4925</v>
      </c>
      <c r="O34" s="34">
        <v>2</v>
      </c>
      <c r="P34" s="33">
        <f t="shared" si="1"/>
        <v>182.3</v>
      </c>
      <c r="Q34" s="33">
        <f t="shared" si="2"/>
        <v>196.88400000000001</v>
      </c>
    </row>
    <row r="35" spans="1:17" s="55" customFormat="1" x14ac:dyDescent="0.25">
      <c r="A35" s="5">
        <v>252</v>
      </c>
      <c r="B35" s="6" t="s">
        <v>53</v>
      </c>
      <c r="C35" s="7">
        <v>4000</v>
      </c>
      <c r="D35" s="7">
        <v>419.88</v>
      </c>
      <c r="E35" s="8">
        <f t="shared" si="3"/>
        <v>2519.2799999999997</v>
      </c>
      <c r="F35" s="8">
        <f t="shared" si="8"/>
        <v>419.88</v>
      </c>
      <c r="G35" s="9">
        <f t="shared" si="4"/>
        <v>2939.16</v>
      </c>
      <c r="H35" s="37">
        <v>3102</v>
      </c>
      <c r="I35" s="10">
        <v>150</v>
      </c>
      <c r="J35" s="10">
        <v>70</v>
      </c>
      <c r="K35" s="21"/>
      <c r="L35" s="19"/>
      <c r="M35" s="13">
        <f t="shared" si="6"/>
        <v>678</v>
      </c>
      <c r="N35" s="14">
        <f t="shared" si="0"/>
        <v>3780</v>
      </c>
      <c r="O35" s="5" t="s">
        <v>47</v>
      </c>
      <c r="P35" s="33">
        <f t="shared" si="1"/>
        <v>67.8</v>
      </c>
      <c r="Q35" s="33">
        <f t="shared" si="2"/>
        <v>73.224000000000004</v>
      </c>
    </row>
    <row r="36" spans="1:17" s="55" customFormat="1" x14ac:dyDescent="0.25">
      <c r="A36" s="5">
        <v>260</v>
      </c>
      <c r="B36" s="6" t="s">
        <v>54</v>
      </c>
      <c r="C36" s="7">
        <v>5000</v>
      </c>
      <c r="D36" s="7">
        <v>419.88</v>
      </c>
      <c r="E36" s="8">
        <f t="shared" si="3"/>
        <v>2519.2799999999997</v>
      </c>
      <c r="F36" s="8">
        <f t="shared" si="8"/>
        <v>419.88</v>
      </c>
      <c r="G36" s="9">
        <f t="shared" si="4"/>
        <v>2939.16</v>
      </c>
      <c r="H36" s="37">
        <v>3108.8</v>
      </c>
      <c r="I36" s="10">
        <v>0</v>
      </c>
      <c r="J36" s="10">
        <v>0</v>
      </c>
      <c r="K36" s="21"/>
      <c r="L36" s="19"/>
      <c r="M36" s="13">
        <f t="shared" si="6"/>
        <v>1891.1999999999998</v>
      </c>
      <c r="N36" s="14">
        <f t="shared" si="0"/>
        <v>5000</v>
      </c>
      <c r="O36" s="5" t="s">
        <v>47</v>
      </c>
      <c r="P36" s="33">
        <f t="shared" si="1"/>
        <v>189.12</v>
      </c>
      <c r="Q36" s="33">
        <f t="shared" si="2"/>
        <v>204.24960000000002</v>
      </c>
    </row>
    <row r="37" spans="1:17" s="55" customFormat="1" x14ac:dyDescent="0.25">
      <c r="A37" s="5">
        <v>261</v>
      </c>
      <c r="B37" s="6" t="s">
        <v>55</v>
      </c>
      <c r="C37" s="7">
        <v>4000</v>
      </c>
      <c r="D37" s="7">
        <v>419.88</v>
      </c>
      <c r="E37" s="8">
        <f t="shared" si="3"/>
        <v>2519.2799999999997</v>
      </c>
      <c r="F37" s="8">
        <f t="shared" si="8"/>
        <v>419.88</v>
      </c>
      <c r="G37" s="9">
        <f t="shared" si="4"/>
        <v>2939.16</v>
      </c>
      <c r="H37" s="37">
        <v>2165.6</v>
      </c>
      <c r="I37" s="10">
        <v>225</v>
      </c>
      <c r="J37" s="10">
        <v>0</v>
      </c>
      <c r="K37" s="16">
        <v>944.31</v>
      </c>
      <c r="L37" s="19">
        <v>285.70999999999998</v>
      </c>
      <c r="M37" s="13">
        <f t="shared" si="6"/>
        <v>950.80000000000018</v>
      </c>
      <c r="N37" s="14">
        <f t="shared" si="0"/>
        <v>3116.4</v>
      </c>
      <c r="O37" s="5" t="s">
        <v>47</v>
      </c>
      <c r="P37" s="33">
        <f t="shared" si="1"/>
        <v>95.080000000000027</v>
      </c>
      <c r="Q37" s="33">
        <f t="shared" si="2"/>
        <v>102.68640000000003</v>
      </c>
    </row>
    <row r="38" spans="1:17" s="55" customFormat="1" x14ac:dyDescent="0.25">
      <c r="A38" s="5">
        <v>267</v>
      </c>
      <c r="B38" s="6" t="s">
        <v>56</v>
      </c>
      <c r="C38" s="7">
        <v>5000</v>
      </c>
      <c r="D38" s="7">
        <v>419.88</v>
      </c>
      <c r="E38" s="8">
        <f t="shared" si="3"/>
        <v>2519.2799999999997</v>
      </c>
      <c r="F38" s="8">
        <f>$D$4</f>
        <v>419.88</v>
      </c>
      <c r="G38" s="9">
        <f t="shared" si="4"/>
        <v>2939.16</v>
      </c>
      <c r="H38" s="37">
        <v>2583.8000000000002</v>
      </c>
      <c r="I38" s="10">
        <v>150</v>
      </c>
      <c r="J38" s="10">
        <v>0</v>
      </c>
      <c r="K38" s="16">
        <v>450.66</v>
      </c>
      <c r="L38" s="19"/>
      <c r="M38" s="13">
        <f t="shared" si="6"/>
        <v>1815.5399999999997</v>
      </c>
      <c r="N38" s="14">
        <f t="shared" si="0"/>
        <v>4399.34</v>
      </c>
      <c r="O38" s="5" t="s">
        <v>47</v>
      </c>
      <c r="P38" s="33">
        <f t="shared" si="1"/>
        <v>181.55399999999997</v>
      </c>
      <c r="Q38" s="33">
        <f t="shared" si="2"/>
        <v>196.07831999999999</v>
      </c>
    </row>
    <row r="39" spans="1:17" s="55" customFormat="1" x14ac:dyDescent="0.25">
      <c r="A39" s="5">
        <v>268</v>
      </c>
      <c r="B39" s="6" t="s">
        <v>57</v>
      </c>
      <c r="C39" s="7">
        <v>4000</v>
      </c>
      <c r="D39" s="7">
        <v>419.88</v>
      </c>
      <c r="E39" s="8">
        <f t="shared" si="3"/>
        <v>2519.2799999999997</v>
      </c>
      <c r="F39" s="8">
        <f t="shared" ref="F39:F56" si="9">$D$4</f>
        <v>419.88</v>
      </c>
      <c r="G39" s="9">
        <f t="shared" si="4"/>
        <v>2939.16</v>
      </c>
      <c r="H39" s="37">
        <v>3102</v>
      </c>
      <c r="I39" s="10">
        <v>0</v>
      </c>
      <c r="J39" s="10">
        <v>0</v>
      </c>
      <c r="K39" s="11"/>
      <c r="L39" s="19"/>
      <c r="M39" s="13">
        <f t="shared" si="6"/>
        <v>898</v>
      </c>
      <c r="N39" s="14">
        <f t="shared" si="0"/>
        <v>4000</v>
      </c>
      <c r="O39" s="5" t="s">
        <v>47</v>
      </c>
      <c r="P39" s="33">
        <f t="shared" si="1"/>
        <v>89.800000000000011</v>
      </c>
      <c r="Q39" s="33">
        <f t="shared" si="2"/>
        <v>96.984000000000023</v>
      </c>
    </row>
    <row r="40" spans="1:17" s="55" customFormat="1" x14ac:dyDescent="0.25">
      <c r="A40" s="5">
        <v>269</v>
      </c>
      <c r="B40" s="6" t="s">
        <v>58</v>
      </c>
      <c r="C40" s="7">
        <v>5000</v>
      </c>
      <c r="D40" s="7">
        <v>419.88</v>
      </c>
      <c r="E40" s="8">
        <f t="shared" si="3"/>
        <v>2519.2799999999997</v>
      </c>
      <c r="F40" s="8">
        <f t="shared" si="9"/>
        <v>419.88</v>
      </c>
      <c r="G40" s="9">
        <f t="shared" si="4"/>
        <v>2939.16</v>
      </c>
      <c r="H40" s="37">
        <v>2873.6</v>
      </c>
      <c r="I40" s="10">
        <v>150</v>
      </c>
      <c r="J40" s="10">
        <v>70</v>
      </c>
      <c r="K40" s="21">
        <v>293.92</v>
      </c>
      <c r="L40" s="19"/>
      <c r="M40" s="13">
        <f t="shared" si="6"/>
        <v>1612.48</v>
      </c>
      <c r="N40" s="14">
        <f t="shared" si="0"/>
        <v>4486.08</v>
      </c>
      <c r="O40" s="5" t="s">
        <v>47</v>
      </c>
      <c r="P40" s="33">
        <f t="shared" si="1"/>
        <v>161.24800000000002</v>
      </c>
      <c r="Q40" s="33">
        <f t="shared" si="2"/>
        <v>174.14784000000003</v>
      </c>
    </row>
    <row r="41" spans="1:17" s="55" customFormat="1" x14ac:dyDescent="0.25">
      <c r="A41" s="5">
        <v>271</v>
      </c>
      <c r="B41" s="6" t="s">
        <v>59</v>
      </c>
      <c r="C41" s="7">
        <v>3500</v>
      </c>
      <c r="D41" s="7">
        <v>419.88</v>
      </c>
      <c r="E41" s="8">
        <f t="shared" si="3"/>
        <v>2519.2799999999997</v>
      </c>
      <c r="F41" s="8">
        <f t="shared" si="9"/>
        <v>419.88</v>
      </c>
      <c r="G41" s="9">
        <f t="shared" si="4"/>
        <v>2939.16</v>
      </c>
      <c r="H41" s="37">
        <v>3118</v>
      </c>
      <c r="I41" s="10">
        <v>225</v>
      </c>
      <c r="J41" s="10">
        <v>35</v>
      </c>
      <c r="K41" s="21"/>
      <c r="L41" s="19"/>
      <c r="M41" s="13">
        <f t="shared" si="6"/>
        <v>122</v>
      </c>
      <c r="N41" s="14">
        <f t="shared" si="0"/>
        <v>3240</v>
      </c>
      <c r="O41" s="5" t="s">
        <v>47</v>
      </c>
      <c r="P41" s="33">
        <f t="shared" si="1"/>
        <v>12.200000000000001</v>
      </c>
      <c r="Q41" s="33">
        <f t="shared" si="2"/>
        <v>13.176000000000002</v>
      </c>
    </row>
    <row r="42" spans="1:17" s="55" customFormat="1" x14ac:dyDescent="0.25">
      <c r="A42" s="5">
        <v>275</v>
      </c>
      <c r="B42" s="6" t="s">
        <v>60</v>
      </c>
      <c r="C42" s="7">
        <v>5000</v>
      </c>
      <c r="D42" s="7">
        <v>419.88</v>
      </c>
      <c r="E42" s="8">
        <f t="shared" si="3"/>
        <v>2519.2799999999997</v>
      </c>
      <c r="F42" s="8">
        <f t="shared" si="9"/>
        <v>419.88</v>
      </c>
      <c r="G42" s="9">
        <f t="shared" si="4"/>
        <v>2939.16</v>
      </c>
      <c r="H42" s="37">
        <v>2642.4</v>
      </c>
      <c r="I42" s="10">
        <v>0</v>
      </c>
      <c r="J42" s="10">
        <v>0</v>
      </c>
      <c r="K42" s="21">
        <v>587.84</v>
      </c>
      <c r="L42" s="19"/>
      <c r="M42" s="13">
        <f t="shared" si="6"/>
        <v>1769.7599999999998</v>
      </c>
      <c r="N42" s="14">
        <f t="shared" si="0"/>
        <v>4412.16</v>
      </c>
      <c r="O42" s="5" t="s">
        <v>47</v>
      </c>
      <c r="P42" s="33">
        <f t="shared" si="1"/>
        <v>176.976</v>
      </c>
      <c r="Q42" s="33">
        <f t="shared" si="2"/>
        <v>191.13408000000001</v>
      </c>
    </row>
    <row r="43" spans="1:17" s="55" customFormat="1" x14ac:dyDescent="0.25">
      <c r="A43" s="5">
        <v>276</v>
      </c>
      <c r="B43" s="6" t="s">
        <v>61</v>
      </c>
      <c r="C43" s="7">
        <v>5000</v>
      </c>
      <c r="D43" s="7">
        <v>419.88</v>
      </c>
      <c r="E43" s="8">
        <f t="shared" si="3"/>
        <v>2519.2799999999997</v>
      </c>
      <c r="F43" s="8">
        <f t="shared" si="9"/>
        <v>419.88</v>
      </c>
      <c r="G43" s="9">
        <f t="shared" si="4"/>
        <v>2939.16</v>
      </c>
      <c r="H43" s="37">
        <v>3101.8</v>
      </c>
      <c r="I43" s="10">
        <v>225</v>
      </c>
      <c r="J43" s="10">
        <v>175</v>
      </c>
      <c r="K43" s="11"/>
      <c r="L43" s="19"/>
      <c r="M43" s="13">
        <f t="shared" si="6"/>
        <v>1498.1999999999998</v>
      </c>
      <c r="N43" s="14">
        <f t="shared" si="0"/>
        <v>4600</v>
      </c>
      <c r="O43" s="5" t="s">
        <v>47</v>
      </c>
      <c r="P43" s="33">
        <f t="shared" si="1"/>
        <v>149.82</v>
      </c>
      <c r="Q43" s="33">
        <f t="shared" si="2"/>
        <v>161.8056</v>
      </c>
    </row>
    <row r="44" spans="1:17" s="55" customFormat="1" x14ac:dyDescent="0.25">
      <c r="A44" s="5">
        <v>278</v>
      </c>
      <c r="B44" s="6" t="s">
        <v>62</v>
      </c>
      <c r="C44" s="7">
        <v>5000</v>
      </c>
      <c r="D44" s="7">
        <v>419.88</v>
      </c>
      <c r="E44" s="8">
        <f t="shared" si="3"/>
        <v>2519.2799999999997</v>
      </c>
      <c r="F44" s="8">
        <f t="shared" si="9"/>
        <v>419.88</v>
      </c>
      <c r="G44" s="9">
        <f t="shared" si="4"/>
        <v>2939.16</v>
      </c>
      <c r="H44" s="37">
        <v>3215.4</v>
      </c>
      <c r="I44" s="10">
        <v>75</v>
      </c>
      <c r="J44" s="10">
        <v>35</v>
      </c>
      <c r="K44" s="21"/>
      <c r="L44" s="19">
        <v>357.14</v>
      </c>
      <c r="M44" s="13">
        <f t="shared" si="6"/>
        <v>2031.7399999999998</v>
      </c>
      <c r="N44" s="14">
        <f t="shared" si="0"/>
        <v>5247.1399999999994</v>
      </c>
      <c r="O44" s="5" t="s">
        <v>47</v>
      </c>
      <c r="P44" s="33">
        <f t="shared" si="1"/>
        <v>203.17399999999998</v>
      </c>
      <c r="Q44" s="33">
        <f t="shared" si="2"/>
        <v>219.42792</v>
      </c>
    </row>
    <row r="45" spans="1:17" s="55" customFormat="1" x14ac:dyDescent="0.25">
      <c r="A45" s="5">
        <v>279</v>
      </c>
      <c r="B45" s="6" t="s">
        <v>63</v>
      </c>
      <c r="C45" s="7">
        <v>3500</v>
      </c>
      <c r="D45" s="7">
        <v>419.88</v>
      </c>
      <c r="E45" s="8">
        <f t="shared" si="3"/>
        <v>2519.2799999999997</v>
      </c>
      <c r="F45" s="8">
        <f t="shared" si="9"/>
        <v>419.88</v>
      </c>
      <c r="G45" s="9">
        <f t="shared" si="4"/>
        <v>2939.16</v>
      </c>
      <c r="H45" s="37">
        <v>3102</v>
      </c>
      <c r="I45" s="10">
        <v>75</v>
      </c>
      <c r="J45" s="10">
        <v>70</v>
      </c>
      <c r="K45" s="11"/>
      <c r="L45" s="19"/>
      <c r="M45" s="13">
        <f t="shared" si="6"/>
        <v>253</v>
      </c>
      <c r="N45" s="14">
        <f t="shared" si="0"/>
        <v>3355</v>
      </c>
      <c r="O45" s="5" t="s">
        <v>47</v>
      </c>
      <c r="P45" s="33">
        <f t="shared" si="1"/>
        <v>25.3</v>
      </c>
      <c r="Q45" s="33">
        <f t="shared" si="2"/>
        <v>27.324000000000002</v>
      </c>
    </row>
    <row r="46" spans="1:17" s="55" customFormat="1" x14ac:dyDescent="0.25">
      <c r="A46" s="5">
        <v>280</v>
      </c>
      <c r="B46" s="6" t="s">
        <v>64</v>
      </c>
      <c r="C46" s="7">
        <v>5000</v>
      </c>
      <c r="D46" s="7">
        <v>419.88</v>
      </c>
      <c r="E46" s="8">
        <f t="shared" si="3"/>
        <v>2519.2799999999997</v>
      </c>
      <c r="F46" s="8">
        <f t="shared" si="9"/>
        <v>419.88</v>
      </c>
      <c r="G46" s="9">
        <f t="shared" si="4"/>
        <v>2939.16</v>
      </c>
      <c r="H46" s="37">
        <v>3114.8</v>
      </c>
      <c r="I46" s="10">
        <v>0</v>
      </c>
      <c r="J46" s="10">
        <v>0</v>
      </c>
      <c r="K46" s="11"/>
      <c r="L46" s="19"/>
      <c r="M46" s="13">
        <f t="shared" si="6"/>
        <v>1885.1999999999998</v>
      </c>
      <c r="N46" s="14">
        <f t="shared" si="0"/>
        <v>5000</v>
      </c>
      <c r="O46" s="5" t="s">
        <v>47</v>
      </c>
      <c r="P46" s="33">
        <f t="shared" si="1"/>
        <v>188.51999999999998</v>
      </c>
      <c r="Q46" s="33">
        <f t="shared" si="2"/>
        <v>203.60159999999999</v>
      </c>
    </row>
    <row r="47" spans="1:17" s="55" customFormat="1" x14ac:dyDescent="0.25">
      <c r="A47" s="5">
        <v>281</v>
      </c>
      <c r="B47" s="6" t="s">
        <v>65</v>
      </c>
      <c r="C47" s="7">
        <v>8750</v>
      </c>
      <c r="D47" s="7">
        <v>419.88</v>
      </c>
      <c r="E47" s="8">
        <f t="shared" si="3"/>
        <v>2519.2799999999997</v>
      </c>
      <c r="F47" s="8">
        <f t="shared" si="9"/>
        <v>419.88</v>
      </c>
      <c r="G47" s="9">
        <f t="shared" si="4"/>
        <v>2939.16</v>
      </c>
      <c r="H47" s="37">
        <v>3101.8</v>
      </c>
      <c r="I47" s="10">
        <v>0</v>
      </c>
      <c r="J47" s="10">
        <v>0</v>
      </c>
      <c r="K47" s="11"/>
      <c r="L47" s="19"/>
      <c r="M47" s="13">
        <f t="shared" si="6"/>
        <v>5648.2</v>
      </c>
      <c r="N47" s="14">
        <f t="shared" si="0"/>
        <v>8750</v>
      </c>
      <c r="O47" s="5" t="s">
        <v>47</v>
      </c>
      <c r="P47" s="33">
        <f t="shared" si="1"/>
        <v>564.82000000000005</v>
      </c>
      <c r="Q47" s="33">
        <f t="shared" si="2"/>
        <v>610.00560000000007</v>
      </c>
    </row>
    <row r="48" spans="1:17" x14ac:dyDescent="0.25">
      <c r="A48" s="5">
        <v>283</v>
      </c>
      <c r="B48" s="6" t="s">
        <v>66</v>
      </c>
      <c r="C48" s="7">
        <v>5000</v>
      </c>
      <c r="D48" s="7">
        <v>419.88</v>
      </c>
      <c r="E48" s="8">
        <f t="shared" si="3"/>
        <v>2519.2799999999997</v>
      </c>
      <c r="F48" s="8">
        <f t="shared" si="9"/>
        <v>419.88</v>
      </c>
      <c r="G48" s="9">
        <f t="shared" si="4"/>
        <v>2939.16</v>
      </c>
      <c r="H48" s="37">
        <v>3115</v>
      </c>
      <c r="I48" s="10">
        <v>0</v>
      </c>
      <c r="J48" s="10">
        <v>70</v>
      </c>
      <c r="K48" s="11"/>
      <c r="L48" s="19"/>
      <c r="M48" s="13">
        <f t="shared" si="6"/>
        <v>1815</v>
      </c>
      <c r="N48" s="14">
        <f t="shared" si="0"/>
        <v>4930</v>
      </c>
      <c r="O48" s="5" t="s">
        <v>47</v>
      </c>
      <c r="P48" s="33">
        <f t="shared" si="1"/>
        <v>181.5</v>
      </c>
      <c r="Q48" s="33">
        <f t="shared" si="2"/>
        <v>196.02</v>
      </c>
    </row>
    <row r="49" spans="1:18" x14ac:dyDescent="0.25">
      <c r="A49" s="5">
        <v>284</v>
      </c>
      <c r="B49" s="6" t="s">
        <v>67</v>
      </c>
      <c r="C49" s="7">
        <v>4000</v>
      </c>
      <c r="D49" s="7">
        <v>419.88</v>
      </c>
      <c r="E49" s="8">
        <f t="shared" si="3"/>
        <v>2519.2799999999997</v>
      </c>
      <c r="F49" s="8">
        <f t="shared" si="9"/>
        <v>419.88</v>
      </c>
      <c r="G49" s="9">
        <f t="shared" si="4"/>
        <v>2939.16</v>
      </c>
      <c r="H49" s="37">
        <v>3102</v>
      </c>
      <c r="I49" s="10">
        <v>0</v>
      </c>
      <c r="J49" s="10">
        <v>0</v>
      </c>
      <c r="K49" s="11"/>
      <c r="L49" s="19"/>
      <c r="M49" s="13">
        <f t="shared" si="6"/>
        <v>898</v>
      </c>
      <c r="N49" s="14">
        <f t="shared" si="0"/>
        <v>4000</v>
      </c>
      <c r="O49" s="5" t="s">
        <v>47</v>
      </c>
      <c r="P49" s="33">
        <f t="shared" si="1"/>
        <v>89.800000000000011</v>
      </c>
      <c r="Q49" s="33">
        <f t="shared" si="2"/>
        <v>96.984000000000023</v>
      </c>
    </row>
    <row r="50" spans="1:18" x14ac:dyDescent="0.25">
      <c r="A50" s="5">
        <v>285</v>
      </c>
      <c r="B50" s="6" t="s">
        <v>68</v>
      </c>
      <c r="C50" s="7">
        <v>4000</v>
      </c>
      <c r="D50" s="7">
        <v>419.88</v>
      </c>
      <c r="E50" s="8">
        <f t="shared" si="3"/>
        <v>2519.2799999999997</v>
      </c>
      <c r="F50" s="8">
        <f t="shared" si="9"/>
        <v>419.88</v>
      </c>
      <c r="G50" s="9">
        <f t="shared" si="4"/>
        <v>2939.16</v>
      </c>
      <c r="H50" s="37">
        <v>3102</v>
      </c>
      <c r="I50" s="10">
        <v>0</v>
      </c>
      <c r="J50" s="10">
        <v>0</v>
      </c>
      <c r="K50" s="11"/>
      <c r="L50" s="19"/>
      <c r="M50" s="13">
        <f t="shared" si="6"/>
        <v>898</v>
      </c>
      <c r="N50" s="14">
        <f t="shared" si="0"/>
        <v>4000</v>
      </c>
      <c r="O50" s="5" t="s">
        <v>47</v>
      </c>
      <c r="P50" s="33">
        <f t="shared" si="1"/>
        <v>89.800000000000011</v>
      </c>
      <c r="Q50" s="33">
        <f t="shared" si="2"/>
        <v>96.984000000000023</v>
      </c>
    </row>
    <row r="51" spans="1:18" x14ac:dyDescent="0.25">
      <c r="A51" s="5">
        <v>286</v>
      </c>
      <c r="B51" s="6" t="s">
        <v>69</v>
      </c>
      <c r="C51" s="7">
        <v>4000</v>
      </c>
      <c r="D51" s="7">
        <v>419.88</v>
      </c>
      <c r="E51" s="8">
        <f t="shared" si="3"/>
        <v>2519.2799999999997</v>
      </c>
      <c r="F51" s="8">
        <f t="shared" si="9"/>
        <v>419.88</v>
      </c>
      <c r="G51" s="9">
        <f t="shared" si="4"/>
        <v>2939.16</v>
      </c>
      <c r="H51" s="37">
        <v>3102</v>
      </c>
      <c r="I51" s="10">
        <v>225</v>
      </c>
      <c r="J51" s="10">
        <v>0</v>
      </c>
      <c r="K51" s="11"/>
      <c r="L51" s="19"/>
      <c r="M51" s="13">
        <f t="shared" si="6"/>
        <v>673</v>
      </c>
      <c r="N51" s="14">
        <f t="shared" si="0"/>
        <v>3775</v>
      </c>
      <c r="O51" s="5" t="s">
        <v>47</v>
      </c>
      <c r="P51" s="33">
        <f t="shared" si="1"/>
        <v>67.3</v>
      </c>
      <c r="Q51" s="33">
        <f t="shared" si="2"/>
        <v>72.683999999999997</v>
      </c>
    </row>
    <row r="52" spans="1:18" x14ac:dyDescent="0.25">
      <c r="A52" s="5">
        <v>287</v>
      </c>
      <c r="B52" s="6" t="s">
        <v>72</v>
      </c>
      <c r="C52" s="7">
        <v>5000</v>
      </c>
      <c r="D52" s="7">
        <v>419.88</v>
      </c>
      <c r="E52" s="8">
        <f t="shared" si="3"/>
        <v>2519.2799999999997</v>
      </c>
      <c r="F52" s="8">
        <f t="shared" si="9"/>
        <v>419.88</v>
      </c>
      <c r="G52" s="9">
        <f t="shared" si="4"/>
        <v>2939.16</v>
      </c>
      <c r="H52" s="37">
        <v>3354.2</v>
      </c>
      <c r="I52" s="10">
        <v>225</v>
      </c>
      <c r="J52" s="10">
        <v>210</v>
      </c>
      <c r="K52" s="11"/>
      <c r="L52" s="19"/>
      <c r="M52" s="13">
        <f t="shared" si="6"/>
        <v>1210.8000000000002</v>
      </c>
      <c r="N52" s="14">
        <f t="shared" si="0"/>
        <v>4565</v>
      </c>
      <c r="O52" s="5" t="s">
        <v>47</v>
      </c>
      <c r="P52" s="33">
        <f t="shared" si="1"/>
        <v>121.08000000000003</v>
      </c>
      <c r="Q52" s="33">
        <f t="shared" si="2"/>
        <v>130.76640000000003</v>
      </c>
    </row>
    <row r="53" spans="1:18" x14ac:dyDescent="0.25">
      <c r="A53" s="5">
        <v>288</v>
      </c>
      <c r="B53" s="6" t="s">
        <v>73</v>
      </c>
      <c r="C53" s="7">
        <v>3500</v>
      </c>
      <c r="D53" s="7">
        <v>419.88</v>
      </c>
      <c r="E53" s="8">
        <f t="shared" si="3"/>
        <v>2519.2799999999997</v>
      </c>
      <c r="F53" s="8">
        <f t="shared" si="9"/>
        <v>419.88</v>
      </c>
      <c r="G53" s="9">
        <f t="shared" si="4"/>
        <v>2939.16</v>
      </c>
      <c r="H53" s="37">
        <v>3354.2</v>
      </c>
      <c r="I53" s="10">
        <v>0</v>
      </c>
      <c r="J53" s="10">
        <v>0</v>
      </c>
      <c r="K53" s="11"/>
      <c r="L53" s="19"/>
      <c r="M53" s="13">
        <f t="shared" si="6"/>
        <v>145.80000000000018</v>
      </c>
      <c r="N53" s="14">
        <f t="shared" si="0"/>
        <v>3500</v>
      </c>
      <c r="O53" s="5" t="s">
        <v>47</v>
      </c>
      <c r="P53" s="33">
        <f t="shared" si="1"/>
        <v>14.58000000000002</v>
      </c>
      <c r="Q53" s="33">
        <f t="shared" si="2"/>
        <v>15.746400000000023</v>
      </c>
    </row>
    <row r="54" spans="1:18" x14ac:dyDescent="0.25">
      <c r="A54" s="5">
        <v>289</v>
      </c>
      <c r="B54" s="6" t="s">
        <v>74</v>
      </c>
      <c r="C54" s="7">
        <v>3500</v>
      </c>
      <c r="D54" s="7">
        <v>419.88</v>
      </c>
      <c r="E54" s="8">
        <f t="shared" si="3"/>
        <v>2519.2799999999997</v>
      </c>
      <c r="F54" s="8">
        <f t="shared" si="9"/>
        <v>419.88</v>
      </c>
      <c r="G54" s="9">
        <f t="shared" si="4"/>
        <v>2939.16</v>
      </c>
      <c r="H54" s="37">
        <v>3354.2</v>
      </c>
      <c r="I54" s="10">
        <v>0</v>
      </c>
      <c r="J54" s="10">
        <v>0</v>
      </c>
      <c r="K54" s="11"/>
      <c r="L54" s="19"/>
      <c r="M54" s="13">
        <f t="shared" si="6"/>
        <v>145.80000000000018</v>
      </c>
      <c r="N54" s="14">
        <f t="shared" si="0"/>
        <v>3500</v>
      </c>
      <c r="O54" s="5" t="s">
        <v>47</v>
      </c>
      <c r="P54" s="33">
        <f t="shared" si="1"/>
        <v>14.58000000000002</v>
      </c>
      <c r="Q54" s="33">
        <f t="shared" si="2"/>
        <v>15.746400000000023</v>
      </c>
    </row>
    <row r="55" spans="1:18" x14ac:dyDescent="0.25">
      <c r="A55" s="5">
        <v>290</v>
      </c>
      <c r="B55" s="6" t="s">
        <v>75</v>
      </c>
      <c r="C55" s="7">
        <v>6250</v>
      </c>
      <c r="D55" s="7">
        <v>419.88</v>
      </c>
      <c r="E55" s="8">
        <f t="shared" si="3"/>
        <v>2519.2799999999997</v>
      </c>
      <c r="F55" s="8">
        <f t="shared" si="9"/>
        <v>419.88</v>
      </c>
      <c r="G55" s="9">
        <f t="shared" si="4"/>
        <v>2939.16</v>
      </c>
      <c r="H55" s="37">
        <v>3354.4</v>
      </c>
      <c r="I55" s="10">
        <v>0</v>
      </c>
      <c r="J55" s="10">
        <v>0</v>
      </c>
      <c r="K55" s="11"/>
      <c r="L55" s="19">
        <v>2865.09</v>
      </c>
      <c r="M55" s="13">
        <f t="shared" si="6"/>
        <v>5760.6900000000005</v>
      </c>
      <c r="N55" s="14">
        <f t="shared" si="0"/>
        <v>9115.09</v>
      </c>
      <c r="O55" s="5" t="s">
        <v>47</v>
      </c>
      <c r="P55" s="33">
        <f t="shared" si="1"/>
        <v>576.06900000000007</v>
      </c>
      <c r="Q55" s="33">
        <f t="shared" si="2"/>
        <v>622.15452000000016</v>
      </c>
    </row>
    <row r="56" spans="1:18" x14ac:dyDescent="0.25">
      <c r="A56" s="5">
        <v>291</v>
      </c>
      <c r="B56" s="6" t="s">
        <v>78</v>
      </c>
      <c r="C56" s="7">
        <v>4250</v>
      </c>
      <c r="D56" s="7">
        <v>419.88</v>
      </c>
      <c r="E56" s="8">
        <f t="shared" si="3"/>
        <v>2519.2799999999997</v>
      </c>
      <c r="F56" s="8">
        <f t="shared" si="9"/>
        <v>419.88</v>
      </c>
      <c r="G56" s="9">
        <f t="shared" si="4"/>
        <v>2939.16</v>
      </c>
      <c r="H56" s="37">
        <v>3354.4</v>
      </c>
      <c r="I56" s="10">
        <v>0</v>
      </c>
      <c r="J56" s="10">
        <v>0</v>
      </c>
      <c r="K56" s="11"/>
      <c r="L56" s="19"/>
      <c r="M56" s="13">
        <f t="shared" si="6"/>
        <v>895.59999999999991</v>
      </c>
      <c r="N56" s="14">
        <f t="shared" si="0"/>
        <v>4250</v>
      </c>
      <c r="O56" s="5" t="s">
        <v>47</v>
      </c>
      <c r="P56" s="33">
        <f t="shared" si="1"/>
        <v>89.56</v>
      </c>
      <c r="Q56" s="33">
        <f t="shared" si="2"/>
        <v>96.724800000000002</v>
      </c>
    </row>
    <row r="57" spans="1:18" ht="16.149999999999999" customHeight="1" thickBot="1" x14ac:dyDescent="0.3"/>
    <row r="58" spans="1:18" ht="18" thickBot="1" x14ac:dyDescent="0.35">
      <c r="A58" s="23"/>
      <c r="B58" s="24"/>
      <c r="C58" s="25">
        <f t="shared" ref="C58:N58" si="10">SUM(C4:C57)</f>
        <v>266000</v>
      </c>
      <c r="D58" s="25">
        <f t="shared" si="10"/>
        <v>22253.64</v>
      </c>
      <c r="E58" s="25">
        <f t="shared" si="10"/>
        <v>133521.83999999997</v>
      </c>
      <c r="F58" s="25">
        <f t="shared" si="10"/>
        <v>22253.64</v>
      </c>
      <c r="G58" s="25">
        <f t="shared" si="10"/>
        <v>155775.48000000013</v>
      </c>
      <c r="H58" s="25">
        <f>SUM(H4:H57)</f>
        <v>161177.60000000003</v>
      </c>
      <c r="I58" s="26">
        <f t="shared" si="10"/>
        <v>4275</v>
      </c>
      <c r="J58" s="26">
        <f t="shared" si="10"/>
        <v>3115</v>
      </c>
      <c r="K58" s="26">
        <f t="shared" si="10"/>
        <v>6856.4499999999989</v>
      </c>
      <c r="L58" s="27">
        <f t="shared" si="10"/>
        <v>4525.8</v>
      </c>
      <c r="M58" s="25">
        <f>SUM(M4:M57)</f>
        <v>95101.749999999985</v>
      </c>
      <c r="N58" s="25">
        <f t="shared" si="10"/>
        <v>256279.34999999995</v>
      </c>
      <c r="P58" s="25">
        <f>SUM(P4:P57)</f>
        <v>9510.1749999999956</v>
      </c>
      <c r="Q58" s="25">
        <f>SUM(Q4:Q57)</f>
        <v>10270.989000000005</v>
      </c>
      <c r="R58" s="55">
        <f>+N58+Q58</f>
        <v>266550.33899999998</v>
      </c>
    </row>
    <row r="59" spans="1:18" x14ac:dyDescent="0.25">
      <c r="H59" s="15"/>
      <c r="M59" s="15"/>
    </row>
    <row r="60" spans="1:18" x14ac:dyDescent="0.25">
      <c r="H60" s="15"/>
      <c r="I60">
        <f>+I58/75</f>
        <v>57</v>
      </c>
      <c r="J60" s="28">
        <f>SUM(J58)/35</f>
        <v>89</v>
      </c>
      <c r="R60" s="55">
        <v>12886.8</v>
      </c>
    </row>
    <row r="61" spans="1:18" x14ac:dyDescent="0.25">
      <c r="F61" s="15"/>
      <c r="H61" s="15">
        <f>H58+M58</f>
        <v>256279.35000000003</v>
      </c>
      <c r="K61" s="15"/>
    </row>
    <row r="62" spans="1:18" x14ac:dyDescent="0.25">
      <c r="H62" s="15">
        <f>'[1]Nom 9'!$H$53</f>
        <v>131178.05999999994</v>
      </c>
      <c r="I62" s="40"/>
      <c r="J62" s="15"/>
    </row>
    <row r="63" spans="1:18" x14ac:dyDescent="0.25">
      <c r="H63" s="15">
        <f>[2]Rino!$H$8</f>
        <v>75398.810000000012</v>
      </c>
    </row>
    <row r="64" spans="1:18" x14ac:dyDescent="0.25">
      <c r="H64" s="15">
        <f>H62+H63</f>
        <v>206576.86999999994</v>
      </c>
    </row>
  </sheetData>
  <autoFilter ref="A3:Q56" xr:uid="{00000000-0009-0000-0000-000004000000}"/>
  <mergeCells count="2">
    <mergeCell ref="A1:N1"/>
    <mergeCell ref="A2:N2"/>
  </mergeCells>
  <pageMargins left="0.25" right="0.25" top="0.75" bottom="0.75" header="0.3" footer="0.3"/>
  <pageSetup scale="51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>
    <pageSetUpPr fitToPage="1"/>
  </sheetPr>
  <dimension ref="A1:R64"/>
  <sheetViews>
    <sheetView showGridLines="0" topLeftCell="A37" zoomScaleNormal="100" workbookViewId="0">
      <selection activeCell="E55" sqref="E55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80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4</v>
      </c>
      <c r="B4" s="6" t="s">
        <v>13</v>
      </c>
      <c r="C4" s="7">
        <v>7500</v>
      </c>
      <c r="D4" s="7">
        <v>419.88</v>
      </c>
      <c r="E4" s="8">
        <f>D4*6</f>
        <v>2519.2799999999997</v>
      </c>
      <c r="F4" s="8">
        <f>$D$4</f>
        <v>419.88</v>
      </c>
      <c r="G4" s="9">
        <f>E4+F4</f>
        <v>2939.16</v>
      </c>
      <c r="H4" s="37">
        <v>2883.6</v>
      </c>
      <c r="I4" s="10">
        <v>375</v>
      </c>
      <c r="J4" s="10">
        <v>0</v>
      </c>
      <c r="K4" s="16">
        <v>400.21</v>
      </c>
      <c r="L4" s="12"/>
      <c r="M4" s="13">
        <f>C4-H4-I4+L4-K4-J4</f>
        <v>3841.1899999999996</v>
      </c>
      <c r="N4" s="14">
        <f t="shared" ref="N4:N56" si="0">H4+M4</f>
        <v>6724.7899999999991</v>
      </c>
      <c r="O4" s="34" t="s">
        <v>48</v>
      </c>
      <c r="P4" s="33">
        <f t="shared" ref="P4:P56" si="1">+M4*0.1</f>
        <v>384.11899999999997</v>
      </c>
      <c r="Q4" s="33">
        <f t="shared" ref="Q4:Q56" si="2">+P4*1.08</f>
        <v>414.84852000000001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6" si="3">D5*6</f>
        <v>2519.2799999999997</v>
      </c>
      <c r="F5" s="8">
        <f>$D$4</f>
        <v>419.88</v>
      </c>
      <c r="G5" s="9">
        <f t="shared" ref="G5:G56" si="4">E5+F5</f>
        <v>2939.16</v>
      </c>
      <c r="H5" s="37">
        <v>3354.2</v>
      </c>
      <c r="I5" s="10">
        <v>375</v>
      </c>
      <c r="J5" s="10">
        <v>0</v>
      </c>
      <c r="K5" s="11"/>
      <c r="L5" s="12"/>
      <c r="M5" s="13">
        <f>C5-H5-I5+L5-K5-J5</f>
        <v>270.80000000000018</v>
      </c>
      <c r="N5" s="14">
        <f t="shared" si="0"/>
        <v>3625</v>
      </c>
      <c r="O5" s="29" t="s">
        <v>47</v>
      </c>
      <c r="P5" s="33">
        <f t="shared" si="1"/>
        <v>27.08000000000002</v>
      </c>
      <c r="Q5" s="33">
        <f t="shared" si="2"/>
        <v>29.246400000000023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ref="F6:F37" si="5">$D$4</f>
        <v>419.88</v>
      </c>
      <c r="G6" s="9">
        <f t="shared" si="4"/>
        <v>2939.16</v>
      </c>
      <c r="H6" s="38">
        <v>3354.2</v>
      </c>
      <c r="I6" s="18">
        <v>0</v>
      </c>
      <c r="J6" s="18">
        <v>140</v>
      </c>
      <c r="K6" s="11"/>
      <c r="L6" s="12"/>
      <c r="M6" s="13">
        <f t="shared" ref="M6:M56" si="6">C6-H6-I6+L6-K6-J6</f>
        <v>11505.8</v>
      </c>
      <c r="N6" s="14">
        <f t="shared" si="0"/>
        <v>14860</v>
      </c>
      <c r="O6" s="30" t="s">
        <v>47</v>
      </c>
      <c r="P6" s="33">
        <f t="shared" si="1"/>
        <v>1150.58</v>
      </c>
      <c r="Q6" s="33">
        <f t="shared" si="2"/>
        <v>1242.6264000000001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5"/>
        <v>419.88</v>
      </c>
      <c r="G7" s="9">
        <f t="shared" si="4"/>
        <v>2939.16</v>
      </c>
      <c r="H7" s="38">
        <v>3354.4</v>
      </c>
      <c r="I7" s="10">
        <v>225</v>
      </c>
      <c r="J7" s="10">
        <v>140</v>
      </c>
      <c r="K7" s="21"/>
      <c r="L7" s="12"/>
      <c r="M7" s="13">
        <f t="shared" si="6"/>
        <v>280.59999999999991</v>
      </c>
      <c r="N7" s="14">
        <f t="shared" si="0"/>
        <v>3635</v>
      </c>
      <c r="O7" s="36" t="s">
        <v>47</v>
      </c>
      <c r="P7" s="33">
        <f t="shared" si="1"/>
        <v>28.059999999999992</v>
      </c>
      <c r="Q7" s="33">
        <f t="shared" si="2"/>
        <v>30.304799999999993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5"/>
        <v>419.88</v>
      </c>
      <c r="G8" s="9">
        <f t="shared" si="4"/>
        <v>2939.16</v>
      </c>
      <c r="H8" s="37">
        <v>3354.4</v>
      </c>
      <c r="I8" s="10">
        <v>150</v>
      </c>
      <c r="J8" s="10">
        <v>0</v>
      </c>
      <c r="K8" s="11"/>
      <c r="L8" s="12"/>
      <c r="M8" s="13">
        <f t="shared" si="6"/>
        <v>995.59999999999991</v>
      </c>
      <c r="N8" s="14">
        <f t="shared" si="0"/>
        <v>4350</v>
      </c>
      <c r="O8" s="30" t="s">
        <v>47</v>
      </c>
      <c r="P8" s="33">
        <f t="shared" si="1"/>
        <v>99.56</v>
      </c>
      <c r="Q8" s="33">
        <f t="shared" si="2"/>
        <v>107.52480000000001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5"/>
        <v>419.88</v>
      </c>
      <c r="G9" s="9">
        <f t="shared" si="4"/>
        <v>2939.16</v>
      </c>
      <c r="H9" s="37">
        <v>3096.6</v>
      </c>
      <c r="I9" s="10">
        <v>225</v>
      </c>
      <c r="J9" s="10">
        <v>140</v>
      </c>
      <c r="K9" s="16">
        <v>257.74</v>
      </c>
      <c r="L9" s="19"/>
      <c r="M9" s="13">
        <f>C9-H9-I9+L9-K9-J9</f>
        <v>280.66000000000008</v>
      </c>
      <c r="N9" s="14">
        <f t="shared" si="0"/>
        <v>3377.26</v>
      </c>
      <c r="O9" s="30" t="s">
        <v>47</v>
      </c>
      <c r="P9" s="33">
        <f t="shared" si="1"/>
        <v>28.06600000000001</v>
      </c>
      <c r="Q9" s="33">
        <f t="shared" si="2"/>
        <v>30.311280000000011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5"/>
        <v>419.88</v>
      </c>
      <c r="G10" s="9">
        <f t="shared" si="4"/>
        <v>2939.16</v>
      </c>
      <c r="H10" s="37">
        <v>3354.2</v>
      </c>
      <c r="I10" s="10">
        <v>0</v>
      </c>
      <c r="J10" s="10">
        <v>0</v>
      </c>
      <c r="K10" s="20"/>
      <c r="L10" s="19"/>
      <c r="M10" s="13">
        <f t="shared" si="6"/>
        <v>645.80000000000018</v>
      </c>
      <c r="N10" s="14">
        <f t="shared" si="0"/>
        <v>4000</v>
      </c>
      <c r="O10" s="30" t="s">
        <v>49</v>
      </c>
      <c r="P10" s="33">
        <f t="shared" si="1"/>
        <v>64.580000000000027</v>
      </c>
      <c r="Q10" s="33">
        <f t="shared" si="2"/>
        <v>69.746400000000037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5"/>
        <v>419.88</v>
      </c>
      <c r="G11" s="9">
        <f t="shared" si="4"/>
        <v>2939.16</v>
      </c>
      <c r="H11" s="37">
        <v>3469.6</v>
      </c>
      <c r="I11" s="10">
        <v>225</v>
      </c>
      <c r="J11" s="10">
        <v>35</v>
      </c>
      <c r="K11" s="11"/>
      <c r="L11" s="12">
        <v>750</v>
      </c>
      <c r="M11" s="13">
        <f>C11-H11-I11+L11-K11-J11</f>
        <v>4020.4</v>
      </c>
      <c r="N11" s="14">
        <f t="shared" si="0"/>
        <v>7490</v>
      </c>
      <c r="O11" s="30" t="s">
        <v>47</v>
      </c>
      <c r="P11" s="33">
        <f t="shared" si="1"/>
        <v>402.04</v>
      </c>
      <c r="Q11" s="33">
        <f t="shared" si="2"/>
        <v>434.20320000000004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5"/>
        <v>419.88</v>
      </c>
      <c r="G12" s="9">
        <f t="shared" si="4"/>
        <v>2939.16</v>
      </c>
      <c r="H12" s="37">
        <v>3469.6</v>
      </c>
      <c r="I12" s="10">
        <v>75</v>
      </c>
      <c r="J12" s="10">
        <v>105</v>
      </c>
      <c r="K12" s="21"/>
      <c r="L12" s="12">
        <v>535.71</v>
      </c>
      <c r="M12" s="13">
        <f>C12-H12-I12+L12-K12-J12</f>
        <v>1886.1100000000001</v>
      </c>
      <c r="N12" s="14">
        <f t="shared" si="0"/>
        <v>5355.71</v>
      </c>
      <c r="O12" s="30" t="s">
        <v>47</v>
      </c>
      <c r="P12" s="33">
        <f t="shared" si="1"/>
        <v>188.61100000000002</v>
      </c>
      <c r="Q12" s="33">
        <f t="shared" si="2"/>
        <v>203.69988000000004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5"/>
        <v>419.88</v>
      </c>
      <c r="G13" s="9">
        <f t="shared" si="4"/>
        <v>2939.16</v>
      </c>
      <c r="H13" s="37">
        <v>3170</v>
      </c>
      <c r="I13" s="10">
        <v>225</v>
      </c>
      <c r="J13" s="10">
        <v>105</v>
      </c>
      <c r="K13" s="21"/>
      <c r="L13" s="12"/>
      <c r="M13" s="13">
        <f>C13-H13-I13+L13-K13-J13</f>
        <v>0</v>
      </c>
      <c r="N13" s="14">
        <f t="shared" si="0"/>
        <v>3170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3500</v>
      </c>
      <c r="D14" s="7">
        <v>419.88</v>
      </c>
      <c r="E14" s="8">
        <f t="shared" si="3"/>
        <v>2519.2799999999997</v>
      </c>
      <c r="F14" s="8">
        <f t="shared" si="5"/>
        <v>419.88</v>
      </c>
      <c r="G14" s="9">
        <f t="shared" si="4"/>
        <v>2939.16</v>
      </c>
      <c r="H14" s="38">
        <v>2986</v>
      </c>
      <c r="I14" s="10">
        <v>150</v>
      </c>
      <c r="J14" s="10">
        <v>70.08</v>
      </c>
      <c r="K14" s="21">
        <v>293.92</v>
      </c>
      <c r="L14" s="12"/>
      <c r="M14" s="13">
        <f>C14-H14-I14+L14-K14-J14</f>
        <v>0</v>
      </c>
      <c r="N14" s="14">
        <f t="shared" si="0"/>
        <v>2986</v>
      </c>
      <c r="O14" s="36" t="s">
        <v>47</v>
      </c>
      <c r="P14" s="33">
        <f t="shared" si="1"/>
        <v>0</v>
      </c>
      <c r="Q14" s="33">
        <f t="shared" si="2"/>
        <v>0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5"/>
        <v>419.88</v>
      </c>
      <c r="G15" s="9">
        <f t="shared" si="4"/>
        <v>2939.16</v>
      </c>
      <c r="H15" s="37">
        <v>3354.4</v>
      </c>
      <c r="I15" s="10">
        <v>0</v>
      </c>
      <c r="J15" s="10">
        <v>0</v>
      </c>
      <c r="K15" s="22"/>
      <c r="L15" s="12"/>
      <c r="M15" s="13">
        <f t="shared" si="6"/>
        <v>645.59999999999991</v>
      </c>
      <c r="N15" s="14">
        <f t="shared" si="0"/>
        <v>4000</v>
      </c>
      <c r="O15" s="30" t="s">
        <v>47</v>
      </c>
      <c r="P15" s="33">
        <f t="shared" si="1"/>
        <v>64.559999999999988</v>
      </c>
      <c r="Q15" s="33">
        <f t="shared" si="2"/>
        <v>69.724799999999988</v>
      </c>
    </row>
    <row r="16" spans="1:17" x14ac:dyDescent="0.25">
      <c r="A16" s="5">
        <v>151</v>
      </c>
      <c r="B16" s="6" t="s">
        <v>25</v>
      </c>
      <c r="C16" s="7">
        <v>3500</v>
      </c>
      <c r="D16" s="7">
        <v>419.88</v>
      </c>
      <c r="E16" s="8">
        <f t="shared" si="3"/>
        <v>2519.2799999999997</v>
      </c>
      <c r="F16" s="8">
        <f t="shared" si="5"/>
        <v>419.88</v>
      </c>
      <c r="G16" s="9">
        <f t="shared" si="4"/>
        <v>2939.16</v>
      </c>
      <c r="H16" s="37">
        <v>3056</v>
      </c>
      <c r="I16" s="10">
        <v>150.08000000000001</v>
      </c>
      <c r="J16" s="10">
        <v>0</v>
      </c>
      <c r="K16" s="21">
        <v>293.92</v>
      </c>
      <c r="L16" s="12"/>
      <c r="M16" s="13">
        <f t="shared" si="6"/>
        <v>-5.6843418860808015E-14</v>
      </c>
      <c r="N16" s="14">
        <f t="shared" si="0"/>
        <v>3056</v>
      </c>
      <c r="O16" s="29" t="s">
        <v>47</v>
      </c>
      <c r="P16" s="33">
        <f t="shared" si="1"/>
        <v>-5.6843418860808018E-15</v>
      </c>
      <c r="Q16" s="33">
        <f t="shared" si="2"/>
        <v>-6.1390892369672663E-15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5"/>
        <v>419.88</v>
      </c>
      <c r="G17" s="9">
        <f t="shared" si="4"/>
        <v>2939.16</v>
      </c>
      <c r="H17" s="37">
        <v>3354.2</v>
      </c>
      <c r="I17" s="10">
        <v>0</v>
      </c>
      <c r="J17" s="10">
        <v>0</v>
      </c>
      <c r="K17" s="21"/>
      <c r="L17" s="19"/>
      <c r="M17" s="13">
        <f t="shared" si="6"/>
        <v>645.80000000000018</v>
      </c>
      <c r="N17" s="14">
        <f t="shared" si="0"/>
        <v>4000</v>
      </c>
      <c r="O17" s="29" t="s">
        <v>47</v>
      </c>
      <c r="P17" s="33">
        <f t="shared" si="1"/>
        <v>64.580000000000027</v>
      </c>
      <c r="Q17" s="33">
        <f t="shared" si="2"/>
        <v>69.746400000000037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5"/>
        <v>419.88</v>
      </c>
      <c r="G18" s="9">
        <f t="shared" si="4"/>
        <v>2939.16</v>
      </c>
      <c r="H18" s="37">
        <v>3354.4</v>
      </c>
      <c r="I18" s="10">
        <v>375</v>
      </c>
      <c r="J18" s="10">
        <v>105</v>
      </c>
      <c r="K18" s="11"/>
      <c r="L18" s="12"/>
      <c r="M18" s="13">
        <f t="shared" si="6"/>
        <v>165.59999999999991</v>
      </c>
      <c r="N18" s="14">
        <f t="shared" si="0"/>
        <v>3520</v>
      </c>
      <c r="O18" s="29" t="s">
        <v>47</v>
      </c>
      <c r="P18" s="33">
        <f t="shared" si="1"/>
        <v>16.559999999999992</v>
      </c>
      <c r="Q18" s="33">
        <f t="shared" si="2"/>
        <v>17.884799999999991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5"/>
        <v>419.88</v>
      </c>
      <c r="G19" s="9">
        <f t="shared" si="4"/>
        <v>2939.16</v>
      </c>
      <c r="H19" s="37">
        <v>2345.1999999999998</v>
      </c>
      <c r="I19" s="10">
        <v>0</v>
      </c>
      <c r="J19" s="10">
        <v>0</v>
      </c>
      <c r="K19" s="16">
        <v>938.81</v>
      </c>
      <c r="L19" s="19"/>
      <c r="M19" s="13">
        <f t="shared" si="6"/>
        <v>6715.99</v>
      </c>
      <c r="N19" s="14">
        <f t="shared" si="0"/>
        <v>9061.1899999999987</v>
      </c>
      <c r="O19" s="29" t="s">
        <v>50</v>
      </c>
      <c r="P19" s="33">
        <f t="shared" si="1"/>
        <v>671.59900000000005</v>
      </c>
      <c r="Q19" s="33">
        <f t="shared" si="2"/>
        <v>725.32692000000009</v>
      </c>
    </row>
    <row r="20" spans="1:17" x14ac:dyDescent="0.25">
      <c r="A20" s="5">
        <v>184</v>
      </c>
      <c r="B20" s="6" t="s">
        <v>29</v>
      </c>
      <c r="C20" s="7">
        <v>7000</v>
      </c>
      <c r="D20" s="7">
        <v>419.88</v>
      </c>
      <c r="E20" s="8">
        <f t="shared" si="3"/>
        <v>2519.2799999999997</v>
      </c>
      <c r="F20" s="8">
        <f t="shared" si="5"/>
        <v>419.88</v>
      </c>
      <c r="G20" s="9">
        <f t="shared" si="4"/>
        <v>2939.16</v>
      </c>
      <c r="H20" s="37">
        <v>3354.4</v>
      </c>
      <c r="I20" s="10">
        <v>375</v>
      </c>
      <c r="J20" s="10">
        <v>175</v>
      </c>
      <c r="K20" s="21"/>
      <c r="L20" s="19"/>
      <c r="M20" s="13">
        <f t="shared" si="6"/>
        <v>3095.6</v>
      </c>
      <c r="N20" s="14">
        <f t="shared" si="0"/>
        <v>6450</v>
      </c>
      <c r="O20" s="29" t="s">
        <v>47</v>
      </c>
      <c r="P20" s="33">
        <f t="shared" si="1"/>
        <v>309.56</v>
      </c>
      <c r="Q20" s="33">
        <f t="shared" si="2"/>
        <v>334.32480000000004</v>
      </c>
    </row>
    <row r="21" spans="1:17" s="55" customFormat="1" x14ac:dyDescent="0.25">
      <c r="A21" s="5">
        <v>199</v>
      </c>
      <c r="B21" s="6" t="s">
        <v>31</v>
      </c>
      <c r="C21" s="7">
        <v>4000</v>
      </c>
      <c r="D21" s="7">
        <v>419.88</v>
      </c>
      <c r="E21" s="8">
        <f t="shared" si="3"/>
        <v>2519.2799999999997</v>
      </c>
      <c r="F21" s="8">
        <f t="shared" si="5"/>
        <v>419.88</v>
      </c>
      <c r="G21" s="9">
        <f t="shared" si="4"/>
        <v>2939.16</v>
      </c>
      <c r="H21" s="37">
        <v>3354.4</v>
      </c>
      <c r="I21" s="10">
        <v>0</v>
      </c>
      <c r="J21" s="10">
        <v>0</v>
      </c>
      <c r="K21" s="16">
        <v>500</v>
      </c>
      <c r="L21" s="19"/>
      <c r="M21" s="13">
        <f t="shared" si="6"/>
        <v>145.59999999999991</v>
      </c>
      <c r="N21" s="14">
        <f t="shared" si="0"/>
        <v>3500</v>
      </c>
      <c r="O21" s="29" t="s">
        <v>47</v>
      </c>
      <c r="P21" s="33">
        <f t="shared" si="1"/>
        <v>14.559999999999992</v>
      </c>
      <c r="Q21" s="33">
        <f t="shared" si="2"/>
        <v>15.724799999999991</v>
      </c>
    </row>
    <row r="22" spans="1:17" s="55" customFormat="1" ht="13.5" customHeight="1" x14ac:dyDescent="0.25">
      <c r="A22" s="5">
        <v>204</v>
      </c>
      <c r="B22" s="6" t="s">
        <v>33</v>
      </c>
      <c r="C22" s="7">
        <v>4000</v>
      </c>
      <c r="D22" s="7">
        <v>419.88</v>
      </c>
      <c r="E22" s="8">
        <f t="shared" si="3"/>
        <v>2519.2799999999997</v>
      </c>
      <c r="F22" s="8">
        <f t="shared" si="5"/>
        <v>419.88</v>
      </c>
      <c r="G22" s="9">
        <f t="shared" si="4"/>
        <v>2939.16</v>
      </c>
      <c r="H22" s="37">
        <v>3354.4</v>
      </c>
      <c r="I22" s="10">
        <v>150</v>
      </c>
      <c r="J22" s="10">
        <v>70</v>
      </c>
      <c r="K22" s="11"/>
      <c r="L22" s="19"/>
      <c r="M22" s="13">
        <f t="shared" si="6"/>
        <v>425.59999999999991</v>
      </c>
      <c r="N22" s="14">
        <f t="shared" si="0"/>
        <v>3780</v>
      </c>
      <c r="O22" s="29" t="s">
        <v>47</v>
      </c>
      <c r="P22" s="33">
        <f t="shared" si="1"/>
        <v>42.559999999999995</v>
      </c>
      <c r="Q22" s="33">
        <f t="shared" si="2"/>
        <v>45.964799999999997</v>
      </c>
    </row>
    <row r="23" spans="1:17" s="55" customFormat="1" x14ac:dyDescent="0.25">
      <c r="A23" s="5">
        <v>213</v>
      </c>
      <c r="B23" s="6" t="s">
        <v>34</v>
      </c>
      <c r="C23" s="7">
        <v>3500</v>
      </c>
      <c r="D23" s="7">
        <v>419.88</v>
      </c>
      <c r="E23" s="8">
        <f t="shared" si="3"/>
        <v>2519.2799999999997</v>
      </c>
      <c r="F23" s="8">
        <f t="shared" si="5"/>
        <v>419.88</v>
      </c>
      <c r="G23" s="9">
        <f t="shared" si="4"/>
        <v>2939.16</v>
      </c>
      <c r="H23" s="37">
        <v>3354.2</v>
      </c>
      <c r="I23" s="10">
        <v>0</v>
      </c>
      <c r="J23" s="10">
        <v>0</v>
      </c>
      <c r="K23" s="11"/>
      <c r="L23" s="19"/>
      <c r="M23" s="13">
        <f t="shared" si="6"/>
        <v>145.80000000000018</v>
      </c>
      <c r="N23" s="14">
        <f t="shared" si="0"/>
        <v>3500</v>
      </c>
      <c r="O23" s="29" t="s">
        <v>50</v>
      </c>
      <c r="P23" s="33">
        <f t="shared" si="1"/>
        <v>14.58000000000002</v>
      </c>
      <c r="Q23" s="33">
        <f t="shared" si="2"/>
        <v>15.746400000000023</v>
      </c>
    </row>
    <row r="24" spans="1:17" s="55" customFormat="1" x14ac:dyDescent="0.25">
      <c r="A24" s="5">
        <v>215</v>
      </c>
      <c r="B24" s="6" t="s">
        <v>35</v>
      </c>
      <c r="C24" s="7">
        <v>5000</v>
      </c>
      <c r="D24" s="7">
        <v>419.88</v>
      </c>
      <c r="E24" s="8">
        <f t="shared" si="3"/>
        <v>2519.2799999999997</v>
      </c>
      <c r="F24" s="8">
        <f t="shared" si="5"/>
        <v>419.88</v>
      </c>
      <c r="G24" s="9">
        <f t="shared" si="4"/>
        <v>2939.16</v>
      </c>
      <c r="H24" s="37">
        <v>3120.4</v>
      </c>
      <c r="I24" s="10">
        <v>150</v>
      </c>
      <c r="J24" s="10">
        <v>35</v>
      </c>
      <c r="K24" s="21">
        <v>293.92</v>
      </c>
      <c r="L24" s="19"/>
      <c r="M24" s="13">
        <f t="shared" si="6"/>
        <v>1400.6799999999998</v>
      </c>
      <c r="N24" s="14">
        <f t="shared" si="0"/>
        <v>4521.08</v>
      </c>
      <c r="O24" s="29" t="s">
        <v>47</v>
      </c>
      <c r="P24" s="33">
        <f t="shared" si="1"/>
        <v>140.06799999999998</v>
      </c>
      <c r="Q24" s="33">
        <f t="shared" si="2"/>
        <v>151.27343999999999</v>
      </c>
    </row>
    <row r="25" spans="1:17" s="55" customFormat="1" x14ac:dyDescent="0.25">
      <c r="A25" s="5">
        <v>218</v>
      </c>
      <c r="B25" s="6" t="s">
        <v>36</v>
      </c>
      <c r="C25" s="7">
        <v>3500</v>
      </c>
      <c r="D25" s="7">
        <v>419.88</v>
      </c>
      <c r="E25" s="8">
        <f t="shared" si="3"/>
        <v>2519.2799999999997</v>
      </c>
      <c r="F25" s="8">
        <f t="shared" si="5"/>
        <v>419.88</v>
      </c>
      <c r="G25" s="9">
        <f t="shared" si="4"/>
        <v>2939.16</v>
      </c>
      <c r="H25" s="37">
        <v>3354.2</v>
      </c>
      <c r="I25" s="10">
        <v>0</v>
      </c>
      <c r="J25" s="10">
        <v>0</v>
      </c>
      <c r="K25" s="21"/>
      <c r="L25" s="12"/>
      <c r="M25" s="13">
        <f t="shared" si="6"/>
        <v>145.80000000000018</v>
      </c>
      <c r="N25" s="14">
        <f t="shared" si="0"/>
        <v>3500</v>
      </c>
      <c r="O25" s="29" t="s">
        <v>49</v>
      </c>
      <c r="P25" s="33">
        <f t="shared" si="1"/>
        <v>14.58000000000002</v>
      </c>
      <c r="Q25" s="33">
        <f t="shared" si="2"/>
        <v>15.746400000000023</v>
      </c>
    </row>
    <row r="26" spans="1:17" s="55" customFormat="1" x14ac:dyDescent="0.25">
      <c r="A26" s="36">
        <v>220</v>
      </c>
      <c r="B26" s="6" t="s">
        <v>37</v>
      </c>
      <c r="C26" s="7">
        <v>3500</v>
      </c>
      <c r="D26" s="7">
        <v>419.88</v>
      </c>
      <c r="E26" s="8">
        <f t="shared" si="3"/>
        <v>2519.2799999999997</v>
      </c>
      <c r="F26" s="8">
        <f t="shared" si="5"/>
        <v>419.88</v>
      </c>
      <c r="G26" s="9">
        <f t="shared" si="4"/>
        <v>2939.16</v>
      </c>
      <c r="H26" s="38">
        <v>2950</v>
      </c>
      <c r="I26" s="10">
        <v>375</v>
      </c>
      <c r="J26" s="10">
        <v>175</v>
      </c>
      <c r="K26" s="21">
        <v>0</v>
      </c>
      <c r="L26" s="12"/>
      <c r="M26" s="13">
        <f t="shared" si="6"/>
        <v>0</v>
      </c>
      <c r="N26" s="14">
        <f t="shared" si="0"/>
        <v>2950</v>
      </c>
      <c r="O26" s="36" t="s">
        <v>47</v>
      </c>
      <c r="P26" s="33">
        <f t="shared" si="1"/>
        <v>0</v>
      </c>
      <c r="Q26" s="33">
        <f t="shared" si="2"/>
        <v>0</v>
      </c>
    </row>
    <row r="27" spans="1:17" s="55" customFormat="1" x14ac:dyDescent="0.25">
      <c r="A27" s="5">
        <v>221</v>
      </c>
      <c r="B27" s="6" t="s">
        <v>38</v>
      </c>
      <c r="C27" s="7">
        <v>4000</v>
      </c>
      <c r="D27" s="7">
        <v>419.88</v>
      </c>
      <c r="E27" s="8">
        <f t="shared" si="3"/>
        <v>2519.2799999999997</v>
      </c>
      <c r="F27" s="8">
        <f t="shared" si="5"/>
        <v>419.88</v>
      </c>
      <c r="G27" s="9">
        <f t="shared" si="4"/>
        <v>2939.16</v>
      </c>
      <c r="H27" s="37">
        <v>3469.8</v>
      </c>
      <c r="I27" s="10">
        <v>375</v>
      </c>
      <c r="J27" s="10">
        <v>140</v>
      </c>
      <c r="K27" s="21"/>
      <c r="L27" s="12">
        <v>428.57</v>
      </c>
      <c r="M27" s="13">
        <f t="shared" si="6"/>
        <v>443.76999999999975</v>
      </c>
      <c r="N27" s="14">
        <f t="shared" si="0"/>
        <v>3913.5699999999997</v>
      </c>
      <c r="O27" s="29" t="s">
        <v>47</v>
      </c>
      <c r="P27" s="33">
        <f t="shared" si="1"/>
        <v>44.376999999999981</v>
      </c>
      <c r="Q27" s="33">
        <f t="shared" si="2"/>
        <v>47.927159999999979</v>
      </c>
    </row>
    <row r="28" spans="1:17" s="55" customFormat="1" x14ac:dyDescent="0.25">
      <c r="A28" s="5">
        <v>222</v>
      </c>
      <c r="B28" s="6" t="s">
        <v>39</v>
      </c>
      <c r="C28" s="7">
        <v>7000</v>
      </c>
      <c r="D28" s="7">
        <v>419.88</v>
      </c>
      <c r="E28" s="8">
        <f t="shared" si="3"/>
        <v>2519.2799999999997</v>
      </c>
      <c r="F28" s="8">
        <f t="shared" si="5"/>
        <v>419.88</v>
      </c>
      <c r="G28" s="9">
        <f t="shared" si="4"/>
        <v>2939.16</v>
      </c>
      <c r="H28" s="37">
        <v>3354.2</v>
      </c>
      <c r="I28" s="10">
        <v>375</v>
      </c>
      <c r="J28" s="10">
        <v>105</v>
      </c>
      <c r="K28" s="21"/>
      <c r="L28" s="19"/>
      <c r="M28" s="13">
        <f t="shared" si="6"/>
        <v>3165.8</v>
      </c>
      <c r="N28" s="14">
        <f t="shared" si="0"/>
        <v>6520</v>
      </c>
      <c r="O28" s="29" t="s">
        <v>47</v>
      </c>
      <c r="P28" s="33">
        <f t="shared" si="1"/>
        <v>316.58000000000004</v>
      </c>
      <c r="Q28" s="33">
        <f t="shared" si="2"/>
        <v>341.90640000000008</v>
      </c>
    </row>
    <row r="29" spans="1:17" s="55" customFormat="1" x14ac:dyDescent="0.25">
      <c r="A29" s="5">
        <v>226</v>
      </c>
      <c r="B29" s="6" t="s">
        <v>40</v>
      </c>
      <c r="C29" s="7">
        <v>7500</v>
      </c>
      <c r="D29" s="7">
        <v>419.88</v>
      </c>
      <c r="E29" s="8">
        <f t="shared" si="3"/>
        <v>2519.2799999999997</v>
      </c>
      <c r="F29" s="8">
        <f t="shared" si="5"/>
        <v>419.88</v>
      </c>
      <c r="G29" s="9">
        <f t="shared" si="4"/>
        <v>2939.16</v>
      </c>
      <c r="H29" s="37">
        <v>3238.8</v>
      </c>
      <c r="I29" s="10">
        <v>150</v>
      </c>
      <c r="J29" s="10">
        <v>105</v>
      </c>
      <c r="K29" s="21">
        <v>471.43</v>
      </c>
      <c r="L29" s="12"/>
      <c r="M29" s="13">
        <f t="shared" si="6"/>
        <v>3534.77</v>
      </c>
      <c r="N29" s="14">
        <f t="shared" si="0"/>
        <v>6773.57</v>
      </c>
      <c r="O29" s="29" t="s">
        <v>47</v>
      </c>
      <c r="P29" s="33">
        <f t="shared" si="1"/>
        <v>353.47700000000003</v>
      </c>
      <c r="Q29" s="33">
        <f t="shared" si="2"/>
        <v>381.75516000000005</v>
      </c>
    </row>
    <row r="30" spans="1:17" s="55" customFormat="1" x14ac:dyDescent="0.25">
      <c r="A30" s="5">
        <v>227</v>
      </c>
      <c r="B30" s="6" t="s">
        <v>41</v>
      </c>
      <c r="C30" s="7">
        <v>6000</v>
      </c>
      <c r="D30" s="7">
        <v>419.88</v>
      </c>
      <c r="E30" s="8">
        <f t="shared" si="3"/>
        <v>2519.2799999999997</v>
      </c>
      <c r="F30" s="8">
        <f t="shared" si="5"/>
        <v>419.88</v>
      </c>
      <c r="G30" s="9">
        <f t="shared" si="4"/>
        <v>2939.16</v>
      </c>
      <c r="H30" s="37">
        <v>3354.4</v>
      </c>
      <c r="I30" s="10">
        <v>225</v>
      </c>
      <c r="J30" s="10">
        <v>140</v>
      </c>
      <c r="K30" s="21"/>
      <c r="L30" s="12"/>
      <c r="M30" s="13">
        <f t="shared" si="6"/>
        <v>2280.6</v>
      </c>
      <c r="N30" s="14">
        <f t="shared" si="0"/>
        <v>5635</v>
      </c>
      <c r="O30" s="29" t="s">
        <v>47</v>
      </c>
      <c r="P30" s="33">
        <f t="shared" si="1"/>
        <v>228.06</v>
      </c>
      <c r="Q30" s="33">
        <f t="shared" si="2"/>
        <v>246.30480000000003</v>
      </c>
    </row>
    <row r="31" spans="1:17" s="55" customFormat="1" x14ac:dyDescent="0.25">
      <c r="A31" s="5">
        <v>233</v>
      </c>
      <c r="B31" s="6" t="s">
        <v>42</v>
      </c>
      <c r="C31" s="7">
        <v>6250</v>
      </c>
      <c r="D31" s="7">
        <v>419.88</v>
      </c>
      <c r="E31" s="8">
        <f t="shared" si="3"/>
        <v>2519.2799999999997</v>
      </c>
      <c r="F31" s="8">
        <f t="shared" si="5"/>
        <v>419.88</v>
      </c>
      <c r="G31" s="9">
        <f t="shared" si="4"/>
        <v>2939.16</v>
      </c>
      <c r="H31" s="37">
        <v>3354.4</v>
      </c>
      <c r="I31" s="10">
        <v>375</v>
      </c>
      <c r="J31" s="10">
        <v>105</v>
      </c>
      <c r="K31" s="21"/>
      <c r="L31" s="19"/>
      <c r="M31" s="13">
        <f t="shared" si="6"/>
        <v>2415.6</v>
      </c>
      <c r="N31" s="14">
        <f t="shared" si="0"/>
        <v>5770</v>
      </c>
      <c r="O31" s="31" t="s">
        <v>47</v>
      </c>
      <c r="P31" s="33">
        <f t="shared" si="1"/>
        <v>241.56</v>
      </c>
      <c r="Q31" s="33">
        <f t="shared" si="2"/>
        <v>260.88480000000004</v>
      </c>
    </row>
    <row r="32" spans="1:17" s="55" customFormat="1" x14ac:dyDescent="0.25">
      <c r="A32" s="5">
        <v>237</v>
      </c>
      <c r="B32" s="6" t="s">
        <v>43</v>
      </c>
      <c r="C32" s="7">
        <v>5000</v>
      </c>
      <c r="D32" s="7">
        <v>419.88</v>
      </c>
      <c r="E32" s="8">
        <f t="shared" si="3"/>
        <v>2519.2799999999997</v>
      </c>
      <c r="F32" s="8">
        <f t="shared" si="5"/>
        <v>419.88</v>
      </c>
      <c r="G32" s="9">
        <f t="shared" si="4"/>
        <v>2939.16</v>
      </c>
      <c r="H32" s="37">
        <v>3354.4</v>
      </c>
      <c r="I32" s="10">
        <v>75</v>
      </c>
      <c r="J32" s="10">
        <v>70</v>
      </c>
      <c r="K32" s="21"/>
      <c r="L32" s="19"/>
      <c r="M32" s="13">
        <f>C32-H32-I32+L32-K32-J32</f>
        <v>1500.6</v>
      </c>
      <c r="N32" s="14">
        <f>H32+M32</f>
        <v>4855</v>
      </c>
      <c r="O32" s="29" t="s">
        <v>47</v>
      </c>
      <c r="P32" s="33">
        <f>+M32*0.1</f>
        <v>150.06</v>
      </c>
      <c r="Q32" s="33">
        <f t="shared" si="2"/>
        <v>162.06480000000002</v>
      </c>
    </row>
    <row r="33" spans="1:17" s="55" customFormat="1" x14ac:dyDescent="0.25">
      <c r="A33" s="5">
        <v>244</v>
      </c>
      <c r="B33" s="6" t="s">
        <v>44</v>
      </c>
      <c r="C33" s="7">
        <v>5000</v>
      </c>
      <c r="D33" s="7">
        <v>419.88</v>
      </c>
      <c r="E33" s="8">
        <f t="shared" si="3"/>
        <v>2519.2799999999997</v>
      </c>
      <c r="F33" s="8">
        <f t="shared" si="5"/>
        <v>419.88</v>
      </c>
      <c r="G33" s="9">
        <f t="shared" si="4"/>
        <v>2939.16</v>
      </c>
      <c r="H33" s="37">
        <v>3354.2</v>
      </c>
      <c r="I33" s="10">
        <v>0</v>
      </c>
      <c r="J33" s="10">
        <v>105</v>
      </c>
      <c r="K33" s="21"/>
      <c r="L33" s="12"/>
      <c r="M33" s="13">
        <f>C33-H33-I33+L33-K33-J33</f>
        <v>1540.8000000000002</v>
      </c>
      <c r="N33" s="14">
        <f t="shared" si="0"/>
        <v>4895</v>
      </c>
      <c r="O33" s="29" t="s">
        <v>47</v>
      </c>
      <c r="P33" s="33">
        <f t="shared" si="1"/>
        <v>154.08000000000004</v>
      </c>
      <c r="Q33" s="33">
        <f t="shared" si="2"/>
        <v>166.40640000000005</v>
      </c>
    </row>
    <row r="34" spans="1:17" s="55" customFormat="1" x14ac:dyDescent="0.25">
      <c r="A34" s="5">
        <v>245</v>
      </c>
      <c r="B34" s="6" t="s">
        <v>45</v>
      </c>
      <c r="C34" s="7">
        <v>5000</v>
      </c>
      <c r="D34" s="7">
        <v>419.88</v>
      </c>
      <c r="E34" s="8">
        <f t="shared" si="3"/>
        <v>2519.2799999999997</v>
      </c>
      <c r="F34" s="8">
        <f t="shared" si="5"/>
        <v>419.88</v>
      </c>
      <c r="G34" s="9">
        <f t="shared" si="4"/>
        <v>2939.16</v>
      </c>
      <c r="H34" s="37">
        <v>3354.4</v>
      </c>
      <c r="I34" s="10">
        <v>75</v>
      </c>
      <c r="J34" s="10">
        <v>0</v>
      </c>
      <c r="K34" s="21"/>
      <c r="L34" s="19"/>
      <c r="M34" s="13">
        <f t="shared" si="6"/>
        <v>1570.6</v>
      </c>
      <c r="N34" s="14">
        <f t="shared" si="0"/>
        <v>4925</v>
      </c>
      <c r="O34" s="34">
        <v>2</v>
      </c>
      <c r="P34" s="33">
        <f t="shared" si="1"/>
        <v>157.06</v>
      </c>
      <c r="Q34" s="33">
        <f t="shared" si="2"/>
        <v>169.62480000000002</v>
      </c>
    </row>
    <row r="35" spans="1:17" s="55" customFormat="1" x14ac:dyDescent="0.25">
      <c r="A35" s="5">
        <v>252</v>
      </c>
      <c r="B35" s="6" t="s">
        <v>53</v>
      </c>
      <c r="C35" s="7">
        <v>4000</v>
      </c>
      <c r="D35" s="7">
        <v>419.88</v>
      </c>
      <c r="E35" s="8">
        <f t="shared" si="3"/>
        <v>2519.2799999999997</v>
      </c>
      <c r="F35" s="8">
        <f t="shared" si="5"/>
        <v>419.88</v>
      </c>
      <c r="G35" s="9">
        <f t="shared" si="4"/>
        <v>2939.16</v>
      </c>
      <c r="H35" s="37">
        <v>3354.2</v>
      </c>
      <c r="I35" s="10">
        <v>225</v>
      </c>
      <c r="J35" s="10">
        <v>105</v>
      </c>
      <c r="K35" s="21"/>
      <c r="L35" s="19"/>
      <c r="M35" s="13">
        <f t="shared" si="6"/>
        <v>315.80000000000018</v>
      </c>
      <c r="N35" s="14">
        <f t="shared" si="0"/>
        <v>3670</v>
      </c>
      <c r="O35" s="5" t="s">
        <v>47</v>
      </c>
      <c r="P35" s="33">
        <f t="shared" si="1"/>
        <v>31.58000000000002</v>
      </c>
      <c r="Q35" s="33">
        <f t="shared" si="2"/>
        <v>34.106400000000022</v>
      </c>
    </row>
    <row r="36" spans="1:17" s="55" customFormat="1" x14ac:dyDescent="0.25">
      <c r="A36" s="5">
        <v>260</v>
      </c>
      <c r="B36" s="6" t="s">
        <v>54</v>
      </c>
      <c r="C36" s="7">
        <v>5000</v>
      </c>
      <c r="D36" s="7">
        <v>419.88</v>
      </c>
      <c r="E36" s="8">
        <f t="shared" si="3"/>
        <v>2519.2799999999997</v>
      </c>
      <c r="F36" s="8">
        <f t="shared" si="5"/>
        <v>419.88</v>
      </c>
      <c r="G36" s="9">
        <f t="shared" si="4"/>
        <v>2939.16</v>
      </c>
      <c r="H36" s="37">
        <v>3354.2</v>
      </c>
      <c r="I36" s="10">
        <v>0</v>
      </c>
      <c r="J36" s="10">
        <v>0</v>
      </c>
      <c r="K36" s="21"/>
      <c r="L36" s="19"/>
      <c r="M36" s="13">
        <f t="shared" si="6"/>
        <v>1645.8000000000002</v>
      </c>
      <c r="N36" s="14">
        <f t="shared" si="0"/>
        <v>5000</v>
      </c>
      <c r="O36" s="5" t="s">
        <v>47</v>
      </c>
      <c r="P36" s="33">
        <f t="shared" si="1"/>
        <v>164.58000000000004</v>
      </c>
      <c r="Q36" s="33">
        <f t="shared" si="2"/>
        <v>177.74640000000005</v>
      </c>
    </row>
    <row r="37" spans="1:17" s="55" customFormat="1" x14ac:dyDescent="0.25">
      <c r="A37" s="5">
        <v>261</v>
      </c>
      <c r="B37" s="6" t="s">
        <v>55</v>
      </c>
      <c r="C37" s="7">
        <v>4000</v>
      </c>
      <c r="D37" s="7">
        <v>419.88</v>
      </c>
      <c r="E37" s="8">
        <f t="shared" si="3"/>
        <v>2519.2799999999997</v>
      </c>
      <c r="F37" s="8">
        <f t="shared" si="5"/>
        <v>419.88</v>
      </c>
      <c r="G37" s="9">
        <f t="shared" si="4"/>
        <v>2939.16</v>
      </c>
      <c r="H37" s="37">
        <v>2340.1999999999998</v>
      </c>
      <c r="I37" s="10">
        <v>300</v>
      </c>
      <c r="J37" s="10">
        <v>0</v>
      </c>
      <c r="K37" s="16">
        <v>944.31</v>
      </c>
      <c r="L37" s="19"/>
      <c r="M37" s="13">
        <f t="shared" si="6"/>
        <v>415.49000000000024</v>
      </c>
      <c r="N37" s="14">
        <f t="shared" si="0"/>
        <v>2755.69</v>
      </c>
      <c r="O37" s="5" t="s">
        <v>47</v>
      </c>
      <c r="P37" s="33">
        <f t="shared" si="1"/>
        <v>41.549000000000028</v>
      </c>
      <c r="Q37" s="33">
        <f t="shared" si="2"/>
        <v>44.872920000000036</v>
      </c>
    </row>
    <row r="38" spans="1:17" s="55" customFormat="1" x14ac:dyDescent="0.25">
      <c r="A38" s="5">
        <v>267</v>
      </c>
      <c r="B38" s="6" t="s">
        <v>56</v>
      </c>
      <c r="C38" s="7">
        <v>5000</v>
      </c>
      <c r="D38" s="7">
        <v>419.88</v>
      </c>
      <c r="E38" s="8">
        <f t="shared" si="3"/>
        <v>2519.2799999999997</v>
      </c>
      <c r="F38" s="8">
        <f>$D$4</f>
        <v>419.88</v>
      </c>
      <c r="G38" s="9">
        <f t="shared" si="4"/>
        <v>2939.16</v>
      </c>
      <c r="H38" s="37">
        <v>2357.8000000000002</v>
      </c>
      <c r="I38" s="10">
        <v>375</v>
      </c>
      <c r="J38" s="10">
        <v>70</v>
      </c>
      <c r="K38" s="16">
        <v>1039.8399999999999</v>
      </c>
      <c r="L38" s="19"/>
      <c r="M38" s="13">
        <f t="shared" si="6"/>
        <v>1157.3599999999999</v>
      </c>
      <c r="N38" s="14">
        <f t="shared" si="0"/>
        <v>3515.16</v>
      </c>
      <c r="O38" s="5" t="s">
        <v>47</v>
      </c>
      <c r="P38" s="33">
        <f t="shared" si="1"/>
        <v>115.73599999999999</v>
      </c>
      <c r="Q38" s="33">
        <f t="shared" si="2"/>
        <v>124.99487999999999</v>
      </c>
    </row>
    <row r="39" spans="1:17" s="55" customFormat="1" x14ac:dyDescent="0.25">
      <c r="A39" s="5">
        <v>268</v>
      </c>
      <c r="B39" s="6" t="s">
        <v>57</v>
      </c>
      <c r="C39" s="7">
        <v>4000</v>
      </c>
      <c r="D39" s="7">
        <v>419.88</v>
      </c>
      <c r="E39" s="8">
        <f t="shared" si="3"/>
        <v>2519.2799999999997</v>
      </c>
      <c r="F39" s="8">
        <f t="shared" ref="F39:F56" si="7">$D$4</f>
        <v>419.88</v>
      </c>
      <c r="G39" s="9">
        <f t="shared" si="4"/>
        <v>2939.16</v>
      </c>
      <c r="H39" s="37">
        <v>3354.2</v>
      </c>
      <c r="I39" s="10">
        <v>75</v>
      </c>
      <c r="J39" s="10">
        <v>0</v>
      </c>
      <c r="K39" s="11"/>
      <c r="L39" s="19"/>
      <c r="M39" s="13">
        <f t="shared" si="6"/>
        <v>570.80000000000018</v>
      </c>
      <c r="N39" s="14">
        <f t="shared" si="0"/>
        <v>3925</v>
      </c>
      <c r="O39" s="5" t="s">
        <v>47</v>
      </c>
      <c r="P39" s="33">
        <f t="shared" si="1"/>
        <v>57.08000000000002</v>
      </c>
      <c r="Q39" s="33">
        <f t="shared" si="2"/>
        <v>61.646400000000028</v>
      </c>
    </row>
    <row r="40" spans="1:17" s="55" customFormat="1" x14ac:dyDescent="0.25">
      <c r="A40" s="5">
        <v>269</v>
      </c>
      <c r="B40" s="6" t="s">
        <v>58</v>
      </c>
      <c r="C40" s="7">
        <v>5000</v>
      </c>
      <c r="D40" s="7">
        <v>419.88</v>
      </c>
      <c r="E40" s="8">
        <f t="shared" si="3"/>
        <v>2519.2799999999997</v>
      </c>
      <c r="F40" s="8">
        <f t="shared" si="7"/>
        <v>419.88</v>
      </c>
      <c r="G40" s="9">
        <f t="shared" si="4"/>
        <v>2939.16</v>
      </c>
      <c r="H40" s="37">
        <v>3354.2</v>
      </c>
      <c r="I40" s="10">
        <v>300</v>
      </c>
      <c r="J40" s="10">
        <v>105</v>
      </c>
      <c r="K40" s="21"/>
      <c r="L40" s="19"/>
      <c r="M40" s="13">
        <f t="shared" si="6"/>
        <v>1240.8000000000002</v>
      </c>
      <c r="N40" s="14">
        <f t="shared" si="0"/>
        <v>4595</v>
      </c>
      <c r="O40" s="5" t="s">
        <v>47</v>
      </c>
      <c r="P40" s="33">
        <f t="shared" si="1"/>
        <v>124.08000000000003</v>
      </c>
      <c r="Q40" s="33">
        <f t="shared" si="2"/>
        <v>134.00640000000004</v>
      </c>
    </row>
    <row r="41" spans="1:17" s="55" customFormat="1" x14ac:dyDescent="0.25">
      <c r="A41" s="5">
        <v>271</v>
      </c>
      <c r="B41" s="6" t="s">
        <v>59</v>
      </c>
      <c r="C41" s="7">
        <v>3500</v>
      </c>
      <c r="D41" s="7">
        <v>419.88</v>
      </c>
      <c r="E41" s="8">
        <f t="shared" si="3"/>
        <v>2519.2799999999997</v>
      </c>
      <c r="F41" s="8">
        <f t="shared" si="7"/>
        <v>419.88</v>
      </c>
      <c r="G41" s="9">
        <f t="shared" si="4"/>
        <v>2939.16</v>
      </c>
      <c r="H41" s="37">
        <v>3350</v>
      </c>
      <c r="I41" s="10">
        <v>150</v>
      </c>
      <c r="J41" s="10">
        <v>0</v>
      </c>
      <c r="K41" s="21"/>
      <c r="L41" s="19"/>
      <c r="M41" s="13">
        <f t="shared" si="6"/>
        <v>0</v>
      </c>
      <c r="N41" s="14">
        <f t="shared" si="0"/>
        <v>3350</v>
      </c>
      <c r="O41" s="5" t="s">
        <v>47</v>
      </c>
      <c r="P41" s="33">
        <f t="shared" si="1"/>
        <v>0</v>
      </c>
      <c r="Q41" s="33">
        <f t="shared" si="2"/>
        <v>0</v>
      </c>
    </row>
    <row r="42" spans="1:17" s="55" customFormat="1" x14ac:dyDescent="0.25">
      <c r="A42" s="5">
        <v>275</v>
      </c>
      <c r="B42" s="6" t="s">
        <v>60</v>
      </c>
      <c r="C42" s="7">
        <v>3375</v>
      </c>
      <c r="D42" s="7">
        <v>419.88</v>
      </c>
      <c r="E42" s="8">
        <f t="shared" si="3"/>
        <v>2519.2799999999997</v>
      </c>
      <c r="F42" s="8">
        <f t="shared" si="7"/>
        <v>419.88</v>
      </c>
      <c r="G42" s="9">
        <f t="shared" si="4"/>
        <v>2939.16</v>
      </c>
      <c r="H42" s="37">
        <v>3081</v>
      </c>
      <c r="I42" s="10">
        <v>0.08</v>
      </c>
      <c r="J42" s="10">
        <v>0</v>
      </c>
      <c r="K42" s="21">
        <v>293.92</v>
      </c>
      <c r="L42" s="19"/>
      <c r="M42" s="13">
        <f t="shared" si="6"/>
        <v>0</v>
      </c>
      <c r="N42" s="14">
        <f t="shared" si="0"/>
        <v>3081</v>
      </c>
      <c r="O42" s="5" t="s">
        <v>47</v>
      </c>
      <c r="P42" s="33">
        <f t="shared" si="1"/>
        <v>0</v>
      </c>
      <c r="Q42" s="33">
        <f t="shared" si="2"/>
        <v>0</v>
      </c>
    </row>
    <row r="43" spans="1:17" s="55" customFormat="1" x14ac:dyDescent="0.25">
      <c r="A43" s="5">
        <v>276</v>
      </c>
      <c r="B43" s="6" t="s">
        <v>61</v>
      </c>
      <c r="C43" s="7">
        <v>5000</v>
      </c>
      <c r="D43" s="7">
        <v>419.88</v>
      </c>
      <c r="E43" s="8">
        <f t="shared" si="3"/>
        <v>2519.2799999999997</v>
      </c>
      <c r="F43" s="8">
        <f t="shared" si="7"/>
        <v>419.88</v>
      </c>
      <c r="G43" s="9">
        <f t="shared" si="4"/>
        <v>2939.16</v>
      </c>
      <c r="H43" s="37">
        <v>3354.4</v>
      </c>
      <c r="I43" s="10">
        <v>375</v>
      </c>
      <c r="J43" s="10">
        <v>105</v>
      </c>
      <c r="K43" s="11"/>
      <c r="L43" s="19"/>
      <c r="M43" s="13">
        <f t="shared" si="6"/>
        <v>1165.5999999999999</v>
      </c>
      <c r="N43" s="14">
        <f t="shared" si="0"/>
        <v>4520</v>
      </c>
      <c r="O43" s="5" t="s">
        <v>47</v>
      </c>
      <c r="P43" s="33">
        <f t="shared" si="1"/>
        <v>116.56</v>
      </c>
      <c r="Q43" s="33">
        <f t="shared" si="2"/>
        <v>125.88480000000001</v>
      </c>
    </row>
    <row r="44" spans="1:17" s="55" customFormat="1" x14ac:dyDescent="0.25">
      <c r="A44" s="5">
        <v>278</v>
      </c>
      <c r="B44" s="6" t="s">
        <v>62</v>
      </c>
      <c r="C44" s="7">
        <v>5000</v>
      </c>
      <c r="D44" s="7">
        <v>419.88</v>
      </c>
      <c r="E44" s="8">
        <f t="shared" si="3"/>
        <v>2519.2799999999997</v>
      </c>
      <c r="F44" s="8">
        <f t="shared" si="7"/>
        <v>419.88</v>
      </c>
      <c r="G44" s="9">
        <f t="shared" si="4"/>
        <v>2939.16</v>
      </c>
      <c r="H44" s="37">
        <v>2879</v>
      </c>
      <c r="I44" s="10">
        <v>75</v>
      </c>
      <c r="J44" s="10">
        <v>35</v>
      </c>
      <c r="K44" s="21">
        <v>587.84</v>
      </c>
      <c r="L44" s="19"/>
      <c r="M44" s="13">
        <f t="shared" si="6"/>
        <v>1423.1599999999999</v>
      </c>
      <c r="N44" s="14">
        <f t="shared" si="0"/>
        <v>4302.16</v>
      </c>
      <c r="O44" s="5" t="s">
        <v>47</v>
      </c>
      <c r="P44" s="33">
        <f t="shared" si="1"/>
        <v>142.316</v>
      </c>
      <c r="Q44" s="33">
        <f t="shared" si="2"/>
        <v>153.70128000000003</v>
      </c>
    </row>
    <row r="45" spans="1:17" s="55" customFormat="1" x14ac:dyDescent="0.25">
      <c r="A45" s="5">
        <v>279</v>
      </c>
      <c r="B45" s="6" t="s">
        <v>63</v>
      </c>
      <c r="C45" s="7">
        <v>3500</v>
      </c>
      <c r="D45" s="7">
        <v>419.88</v>
      </c>
      <c r="E45" s="8">
        <f t="shared" si="3"/>
        <v>2519.2799999999997</v>
      </c>
      <c r="F45" s="8">
        <f t="shared" si="7"/>
        <v>419.88</v>
      </c>
      <c r="G45" s="9">
        <f t="shared" si="4"/>
        <v>2939.16</v>
      </c>
      <c r="H45" s="37">
        <v>3026</v>
      </c>
      <c r="I45" s="10">
        <v>75.08</v>
      </c>
      <c r="J45" s="10">
        <v>105</v>
      </c>
      <c r="K45" s="21">
        <v>293.92</v>
      </c>
      <c r="L45" s="19"/>
      <c r="M45" s="13">
        <f t="shared" si="6"/>
        <v>0</v>
      </c>
      <c r="N45" s="14">
        <f t="shared" si="0"/>
        <v>3026</v>
      </c>
      <c r="O45" s="5" t="s">
        <v>47</v>
      </c>
      <c r="P45" s="33">
        <f t="shared" si="1"/>
        <v>0</v>
      </c>
      <c r="Q45" s="33">
        <f t="shared" si="2"/>
        <v>0</v>
      </c>
    </row>
    <row r="46" spans="1:17" s="55" customFormat="1" x14ac:dyDescent="0.25">
      <c r="A46" s="5">
        <v>280</v>
      </c>
      <c r="B46" s="6" t="s">
        <v>64</v>
      </c>
      <c r="C46" s="7">
        <v>5000</v>
      </c>
      <c r="D46" s="7">
        <v>419.88</v>
      </c>
      <c r="E46" s="8">
        <f t="shared" si="3"/>
        <v>2519.2799999999997</v>
      </c>
      <c r="F46" s="8">
        <f t="shared" si="7"/>
        <v>419.88</v>
      </c>
      <c r="G46" s="9">
        <f t="shared" si="4"/>
        <v>2939.16</v>
      </c>
      <c r="H46" s="37">
        <v>3354.4</v>
      </c>
      <c r="I46" s="10">
        <v>0</v>
      </c>
      <c r="J46" s="10">
        <v>0</v>
      </c>
      <c r="K46" s="11"/>
      <c r="L46" s="19"/>
      <c r="M46" s="13">
        <f t="shared" si="6"/>
        <v>1645.6</v>
      </c>
      <c r="N46" s="14">
        <f t="shared" si="0"/>
        <v>5000</v>
      </c>
      <c r="O46" s="5" t="s">
        <v>47</v>
      </c>
      <c r="P46" s="33">
        <f t="shared" si="1"/>
        <v>164.56</v>
      </c>
      <c r="Q46" s="33">
        <f t="shared" si="2"/>
        <v>177.72480000000002</v>
      </c>
    </row>
    <row r="47" spans="1:17" s="55" customFormat="1" x14ac:dyDescent="0.25">
      <c r="A47" s="5">
        <v>281</v>
      </c>
      <c r="B47" s="6" t="s">
        <v>65</v>
      </c>
      <c r="C47" s="7">
        <v>8750</v>
      </c>
      <c r="D47" s="7">
        <v>419.88</v>
      </c>
      <c r="E47" s="8">
        <f t="shared" si="3"/>
        <v>2519.2799999999997</v>
      </c>
      <c r="F47" s="8">
        <f t="shared" si="7"/>
        <v>419.88</v>
      </c>
      <c r="G47" s="9">
        <f t="shared" si="4"/>
        <v>2939.16</v>
      </c>
      <c r="H47" s="37">
        <v>3354.4</v>
      </c>
      <c r="I47" s="10">
        <v>0</v>
      </c>
      <c r="J47" s="10">
        <v>0</v>
      </c>
      <c r="K47" s="11"/>
      <c r="L47" s="19"/>
      <c r="M47" s="13">
        <f t="shared" si="6"/>
        <v>5395.6</v>
      </c>
      <c r="N47" s="14">
        <f t="shared" si="0"/>
        <v>8750</v>
      </c>
      <c r="O47" s="5" t="s">
        <v>47</v>
      </c>
      <c r="P47" s="33">
        <f t="shared" si="1"/>
        <v>539.56000000000006</v>
      </c>
      <c r="Q47" s="33">
        <f t="shared" si="2"/>
        <v>582.72480000000007</v>
      </c>
    </row>
    <row r="48" spans="1:17" x14ac:dyDescent="0.25">
      <c r="A48" s="5">
        <v>283</v>
      </c>
      <c r="B48" s="6" t="s">
        <v>66</v>
      </c>
      <c r="C48" s="7">
        <v>5000</v>
      </c>
      <c r="D48" s="7">
        <v>419.88</v>
      </c>
      <c r="E48" s="8">
        <f t="shared" si="3"/>
        <v>2519.2799999999997</v>
      </c>
      <c r="F48" s="8">
        <f t="shared" si="7"/>
        <v>419.88</v>
      </c>
      <c r="G48" s="9">
        <f t="shared" si="4"/>
        <v>2939.16</v>
      </c>
      <c r="H48" s="37">
        <v>3354.2</v>
      </c>
      <c r="I48" s="10">
        <v>0</v>
      </c>
      <c r="J48" s="10">
        <v>175</v>
      </c>
      <c r="K48" s="11"/>
      <c r="L48" s="19"/>
      <c r="M48" s="13">
        <f t="shared" si="6"/>
        <v>1470.8000000000002</v>
      </c>
      <c r="N48" s="14">
        <f t="shared" si="0"/>
        <v>4825</v>
      </c>
      <c r="O48" s="5" t="s">
        <v>47</v>
      </c>
      <c r="P48" s="33">
        <f t="shared" si="1"/>
        <v>147.08000000000001</v>
      </c>
      <c r="Q48" s="33">
        <f t="shared" si="2"/>
        <v>158.84640000000002</v>
      </c>
    </row>
    <row r="49" spans="1:18" x14ac:dyDescent="0.25">
      <c r="A49" s="5">
        <v>284</v>
      </c>
      <c r="B49" s="6" t="s">
        <v>67</v>
      </c>
      <c r="C49" s="7">
        <v>4000</v>
      </c>
      <c r="D49" s="7">
        <v>419.88</v>
      </c>
      <c r="E49" s="8">
        <f t="shared" si="3"/>
        <v>2519.2799999999997</v>
      </c>
      <c r="F49" s="8">
        <f t="shared" si="7"/>
        <v>419.88</v>
      </c>
      <c r="G49" s="9">
        <f t="shared" si="4"/>
        <v>2939.16</v>
      </c>
      <c r="H49" s="37">
        <v>3354.4</v>
      </c>
      <c r="I49" s="10">
        <v>0</v>
      </c>
      <c r="J49" s="10">
        <v>0</v>
      </c>
      <c r="K49" s="11"/>
      <c r="L49" s="19"/>
      <c r="M49" s="13">
        <f t="shared" si="6"/>
        <v>645.59999999999991</v>
      </c>
      <c r="N49" s="14">
        <f t="shared" si="0"/>
        <v>4000</v>
      </c>
      <c r="O49" s="5" t="s">
        <v>47</v>
      </c>
      <c r="P49" s="33">
        <f t="shared" si="1"/>
        <v>64.559999999999988</v>
      </c>
      <c r="Q49" s="33">
        <f t="shared" si="2"/>
        <v>69.724799999999988</v>
      </c>
    </row>
    <row r="50" spans="1:18" x14ac:dyDescent="0.25">
      <c r="A50" s="5">
        <v>285</v>
      </c>
      <c r="B50" s="6" t="s">
        <v>68</v>
      </c>
      <c r="C50" s="7">
        <v>4000</v>
      </c>
      <c r="D50" s="7">
        <v>419.88</v>
      </c>
      <c r="E50" s="8">
        <f t="shared" si="3"/>
        <v>2519.2799999999997</v>
      </c>
      <c r="F50" s="8">
        <f t="shared" si="7"/>
        <v>419.88</v>
      </c>
      <c r="G50" s="9">
        <f t="shared" si="4"/>
        <v>2939.16</v>
      </c>
      <c r="H50" s="37">
        <v>3354.2</v>
      </c>
      <c r="I50" s="10">
        <v>0</v>
      </c>
      <c r="J50" s="10">
        <v>0</v>
      </c>
      <c r="K50" s="11"/>
      <c r="L50" s="19"/>
      <c r="M50" s="13">
        <f t="shared" si="6"/>
        <v>645.80000000000018</v>
      </c>
      <c r="N50" s="14">
        <f t="shared" si="0"/>
        <v>4000</v>
      </c>
      <c r="O50" s="5" t="s">
        <v>47</v>
      </c>
      <c r="P50" s="33">
        <f t="shared" si="1"/>
        <v>64.580000000000027</v>
      </c>
      <c r="Q50" s="33">
        <f t="shared" si="2"/>
        <v>69.746400000000037</v>
      </c>
    </row>
    <row r="51" spans="1:18" x14ac:dyDescent="0.25">
      <c r="A51" s="5">
        <v>286</v>
      </c>
      <c r="B51" s="6" t="s">
        <v>69</v>
      </c>
      <c r="C51" s="7">
        <v>4000</v>
      </c>
      <c r="D51" s="7">
        <v>419.88</v>
      </c>
      <c r="E51" s="8">
        <f t="shared" si="3"/>
        <v>2519.2799999999997</v>
      </c>
      <c r="F51" s="8">
        <f t="shared" si="7"/>
        <v>419.88</v>
      </c>
      <c r="G51" s="9">
        <f t="shared" si="4"/>
        <v>2939.16</v>
      </c>
      <c r="H51" s="37">
        <v>3354.2</v>
      </c>
      <c r="I51" s="10">
        <v>375</v>
      </c>
      <c r="J51" s="10">
        <v>0</v>
      </c>
      <c r="K51" s="11"/>
      <c r="L51" s="19"/>
      <c r="M51" s="13">
        <f t="shared" si="6"/>
        <v>270.80000000000018</v>
      </c>
      <c r="N51" s="14">
        <f t="shared" si="0"/>
        <v>3625</v>
      </c>
      <c r="O51" s="5" t="s">
        <v>47</v>
      </c>
      <c r="P51" s="33">
        <f t="shared" si="1"/>
        <v>27.08000000000002</v>
      </c>
      <c r="Q51" s="33">
        <f t="shared" si="2"/>
        <v>29.246400000000023</v>
      </c>
    </row>
    <row r="52" spans="1:18" x14ac:dyDescent="0.25">
      <c r="A52" s="5">
        <v>287</v>
      </c>
      <c r="B52" s="6" t="s">
        <v>72</v>
      </c>
      <c r="C52" s="7">
        <v>5000</v>
      </c>
      <c r="D52" s="7">
        <v>419.88</v>
      </c>
      <c r="E52" s="8">
        <f t="shared" si="3"/>
        <v>2519.2799999999997</v>
      </c>
      <c r="F52" s="8">
        <f t="shared" si="7"/>
        <v>419.88</v>
      </c>
      <c r="G52" s="9">
        <f t="shared" si="4"/>
        <v>2939.16</v>
      </c>
      <c r="H52" s="37">
        <v>3354.4</v>
      </c>
      <c r="I52" s="10">
        <v>375</v>
      </c>
      <c r="J52" s="10">
        <v>210</v>
      </c>
      <c r="K52" s="11"/>
      <c r="L52" s="19"/>
      <c r="M52" s="13">
        <f t="shared" si="6"/>
        <v>1060.5999999999999</v>
      </c>
      <c r="N52" s="14">
        <f t="shared" si="0"/>
        <v>4415</v>
      </c>
      <c r="O52" s="5" t="s">
        <v>47</v>
      </c>
      <c r="P52" s="33">
        <f t="shared" si="1"/>
        <v>106.06</v>
      </c>
      <c r="Q52" s="33">
        <f t="shared" si="2"/>
        <v>114.54480000000001</v>
      </c>
    </row>
    <row r="53" spans="1:18" x14ac:dyDescent="0.25">
      <c r="A53" s="5">
        <v>288</v>
      </c>
      <c r="B53" s="6" t="s">
        <v>73</v>
      </c>
      <c r="C53" s="7">
        <v>3500</v>
      </c>
      <c r="D53" s="7">
        <v>419.88</v>
      </c>
      <c r="E53" s="8">
        <f t="shared" si="3"/>
        <v>2519.2799999999997</v>
      </c>
      <c r="F53" s="8">
        <f t="shared" si="7"/>
        <v>419.88</v>
      </c>
      <c r="G53" s="9">
        <f t="shared" si="4"/>
        <v>2939.16</v>
      </c>
      <c r="H53" s="37">
        <v>3354.4</v>
      </c>
      <c r="I53" s="10">
        <v>0</v>
      </c>
      <c r="J53" s="10">
        <v>0</v>
      </c>
      <c r="K53" s="11"/>
      <c r="L53" s="19"/>
      <c r="M53" s="13">
        <f t="shared" si="6"/>
        <v>145.59999999999991</v>
      </c>
      <c r="N53" s="14">
        <f t="shared" si="0"/>
        <v>3500</v>
      </c>
      <c r="O53" s="5" t="s">
        <v>47</v>
      </c>
      <c r="P53" s="33">
        <f t="shared" si="1"/>
        <v>14.559999999999992</v>
      </c>
      <c r="Q53" s="33">
        <f t="shared" si="2"/>
        <v>15.724799999999991</v>
      </c>
    </row>
    <row r="54" spans="1:18" x14ac:dyDescent="0.25">
      <c r="A54" s="5">
        <v>289</v>
      </c>
      <c r="B54" s="6" t="s">
        <v>74</v>
      </c>
      <c r="C54" s="7">
        <v>3500</v>
      </c>
      <c r="D54" s="7">
        <v>419.88</v>
      </c>
      <c r="E54" s="8">
        <f t="shared" si="3"/>
        <v>2519.2799999999997</v>
      </c>
      <c r="F54" s="8">
        <f t="shared" si="7"/>
        <v>419.88</v>
      </c>
      <c r="G54" s="9">
        <f t="shared" si="4"/>
        <v>2939.16</v>
      </c>
      <c r="H54" s="37">
        <v>3354.4</v>
      </c>
      <c r="I54" s="10">
        <v>0</v>
      </c>
      <c r="J54" s="10">
        <v>0</v>
      </c>
      <c r="K54" s="11"/>
      <c r="L54" s="19"/>
      <c r="M54" s="13">
        <f t="shared" si="6"/>
        <v>145.59999999999991</v>
      </c>
      <c r="N54" s="14">
        <f t="shared" si="0"/>
        <v>3500</v>
      </c>
      <c r="O54" s="5" t="s">
        <v>47</v>
      </c>
      <c r="P54" s="33">
        <f t="shared" si="1"/>
        <v>14.559999999999992</v>
      </c>
      <c r="Q54" s="33">
        <f t="shared" si="2"/>
        <v>15.724799999999991</v>
      </c>
    </row>
    <row r="55" spans="1:18" x14ac:dyDescent="0.25">
      <c r="A55" s="5">
        <v>290</v>
      </c>
      <c r="B55" s="6" t="s">
        <v>75</v>
      </c>
      <c r="C55" s="7">
        <v>6250</v>
      </c>
      <c r="D55" s="7">
        <v>419.88</v>
      </c>
      <c r="E55" s="8">
        <f t="shared" si="3"/>
        <v>2519.2799999999997</v>
      </c>
      <c r="F55" s="8">
        <f t="shared" si="7"/>
        <v>419.88</v>
      </c>
      <c r="G55" s="9">
        <f t="shared" si="4"/>
        <v>2939.16</v>
      </c>
      <c r="H55" s="37">
        <v>3354.2</v>
      </c>
      <c r="I55" s="10">
        <v>0</v>
      </c>
      <c r="J55" s="10">
        <v>0</v>
      </c>
      <c r="K55" s="11"/>
      <c r="L55" s="19"/>
      <c r="M55" s="13">
        <f t="shared" si="6"/>
        <v>2895.8</v>
      </c>
      <c r="N55" s="14">
        <f t="shared" si="0"/>
        <v>6250</v>
      </c>
      <c r="O55" s="5" t="s">
        <v>47</v>
      </c>
      <c r="P55" s="33">
        <f t="shared" si="1"/>
        <v>289.58000000000004</v>
      </c>
      <c r="Q55" s="33">
        <f t="shared" si="2"/>
        <v>312.74640000000005</v>
      </c>
    </row>
    <row r="56" spans="1:18" x14ac:dyDescent="0.25">
      <c r="A56" s="5">
        <v>291</v>
      </c>
      <c r="B56" s="6" t="s">
        <v>78</v>
      </c>
      <c r="C56" s="7">
        <v>4250</v>
      </c>
      <c r="D56" s="7">
        <v>419.88</v>
      </c>
      <c r="E56" s="8">
        <f t="shared" si="3"/>
        <v>2519.2799999999997</v>
      </c>
      <c r="F56" s="8">
        <f t="shared" si="7"/>
        <v>419.88</v>
      </c>
      <c r="G56" s="9">
        <f t="shared" si="4"/>
        <v>2939.16</v>
      </c>
      <c r="H56" s="37">
        <v>3354.2</v>
      </c>
      <c r="I56" s="10">
        <v>0</v>
      </c>
      <c r="J56" s="10">
        <v>70</v>
      </c>
      <c r="K56" s="11"/>
      <c r="L56" s="19"/>
      <c r="M56" s="13">
        <f t="shared" si="6"/>
        <v>825.80000000000018</v>
      </c>
      <c r="N56" s="14">
        <f t="shared" si="0"/>
        <v>4180</v>
      </c>
      <c r="O56" s="5" t="s">
        <v>47</v>
      </c>
      <c r="P56" s="33">
        <f t="shared" si="1"/>
        <v>82.580000000000027</v>
      </c>
      <c r="Q56" s="33">
        <f t="shared" si="2"/>
        <v>89.186400000000035</v>
      </c>
    </row>
    <row r="57" spans="1:18" ht="16.149999999999999" customHeight="1" thickBot="1" x14ac:dyDescent="0.3"/>
    <row r="58" spans="1:18" ht="18" thickBot="1" x14ac:dyDescent="0.35">
      <c r="A58" s="23"/>
      <c r="B58" s="24"/>
      <c r="C58" s="25">
        <f t="shared" ref="C58:N58" si="8">SUM(C4:C57)</f>
        <v>264375</v>
      </c>
      <c r="D58" s="25">
        <f t="shared" si="8"/>
        <v>22253.64</v>
      </c>
      <c r="E58" s="25">
        <f t="shared" si="8"/>
        <v>133521.83999999997</v>
      </c>
      <c r="F58" s="25">
        <f t="shared" si="8"/>
        <v>22253.64</v>
      </c>
      <c r="G58" s="25">
        <f t="shared" si="8"/>
        <v>155775.48000000013</v>
      </c>
      <c r="H58" s="25">
        <f>SUM(H4:H57)</f>
        <v>171690.19999999995</v>
      </c>
      <c r="I58" s="26">
        <f t="shared" si="8"/>
        <v>7950.24</v>
      </c>
      <c r="J58" s="26">
        <f t="shared" si="8"/>
        <v>3045.08</v>
      </c>
      <c r="K58" s="26">
        <f t="shared" si="8"/>
        <v>6609.7800000000007</v>
      </c>
      <c r="L58" s="27">
        <f t="shared" si="8"/>
        <v>1714.28</v>
      </c>
      <c r="M58" s="25">
        <f>SUM(M4:M57)</f>
        <v>76793.98000000004</v>
      </c>
      <c r="N58" s="25">
        <f t="shared" si="8"/>
        <v>248484.18000000002</v>
      </c>
      <c r="P58" s="25">
        <f>SUM(P4:P57)</f>
        <v>7679.3980000000029</v>
      </c>
      <c r="Q58" s="25">
        <f>SUM(Q4:Q57)</f>
        <v>8293.7498399999986</v>
      </c>
      <c r="R58" s="55">
        <f>+N58+Q58</f>
        <v>256777.92984000003</v>
      </c>
    </row>
    <row r="59" spans="1:18" x14ac:dyDescent="0.25">
      <c r="H59" s="15"/>
      <c r="M59" s="15"/>
    </row>
    <row r="60" spans="1:18" x14ac:dyDescent="0.25">
      <c r="H60" s="15"/>
      <c r="I60">
        <f>+I58/75</f>
        <v>106.00319999999999</v>
      </c>
      <c r="J60" s="28">
        <f>SUM(J58)/35</f>
        <v>87.002285714285719</v>
      </c>
      <c r="R60" s="55">
        <v>12886.8</v>
      </c>
    </row>
    <row r="61" spans="1:18" x14ac:dyDescent="0.25">
      <c r="F61" s="15"/>
      <c r="H61" s="15">
        <f>H58+M58</f>
        <v>248484.18</v>
      </c>
      <c r="K61" s="15"/>
    </row>
    <row r="62" spans="1:18" x14ac:dyDescent="0.25">
      <c r="H62" s="15">
        <f>'[1]Nom 9'!$H$53</f>
        <v>131178.05999999994</v>
      </c>
      <c r="I62" s="40"/>
      <c r="J62" s="15"/>
    </row>
    <row r="63" spans="1:18" x14ac:dyDescent="0.25">
      <c r="H63" s="15">
        <f>[2]Rino!$H$8</f>
        <v>75398.810000000012</v>
      </c>
    </row>
    <row r="64" spans="1:18" x14ac:dyDescent="0.25">
      <c r="H64" s="15">
        <f>H62+H63</f>
        <v>206576.86999999994</v>
      </c>
    </row>
  </sheetData>
  <autoFilter ref="A3:Q56" xr:uid="{00000000-0009-0000-0000-000005000000}"/>
  <mergeCells count="2">
    <mergeCell ref="A1:N1"/>
    <mergeCell ref="A2:N2"/>
  </mergeCells>
  <pageMargins left="0.25" right="0.25" top="0.75" bottom="0.75" header="0.3" footer="0.3"/>
  <pageSetup scale="51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pageSetUpPr fitToPage="1"/>
  </sheetPr>
  <dimension ref="A1:R64"/>
  <sheetViews>
    <sheetView showGridLines="0" topLeftCell="A27" zoomScaleNormal="100" workbookViewId="0">
      <selection activeCell="I16" sqref="I16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81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5">
        <v>4</v>
      </c>
      <c r="B4" s="6" t="s">
        <v>13</v>
      </c>
      <c r="C4" s="7">
        <v>7500</v>
      </c>
      <c r="D4" s="7">
        <v>419.88</v>
      </c>
      <c r="E4" s="8">
        <f>D4*6</f>
        <v>2519.2799999999997</v>
      </c>
      <c r="F4" s="8">
        <f>$D$4</f>
        <v>419.88</v>
      </c>
      <c r="G4" s="9">
        <f>E4+F4</f>
        <v>2939.16</v>
      </c>
      <c r="H4" s="37">
        <v>2649.2</v>
      </c>
      <c r="I4" s="10">
        <v>375</v>
      </c>
      <c r="J4" s="10">
        <v>35</v>
      </c>
      <c r="K4" s="16">
        <v>694.8</v>
      </c>
      <c r="L4" s="12"/>
      <c r="M4" s="13">
        <f>C4-H4-I4+L4-K4-J4</f>
        <v>3746</v>
      </c>
      <c r="N4" s="14">
        <f t="shared" ref="N4:N56" si="0">H4+M4</f>
        <v>6395.2</v>
      </c>
      <c r="O4" s="34" t="s">
        <v>48</v>
      </c>
      <c r="P4" s="33">
        <f t="shared" ref="P4:P56" si="1">+M4*0.1</f>
        <v>374.6</v>
      </c>
      <c r="Q4" s="33">
        <f t="shared" ref="Q4:Q56" si="2">+P4*1.08</f>
        <v>404.56800000000004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6" si="3">D5*6</f>
        <v>2519.2799999999997</v>
      </c>
      <c r="F5" s="8">
        <f>$D$4</f>
        <v>419.88</v>
      </c>
      <c r="G5" s="9">
        <f t="shared" ref="G5:G56" si="4">E5+F5</f>
        <v>2939.16</v>
      </c>
      <c r="H5" s="37">
        <v>3354.4</v>
      </c>
      <c r="I5" s="10">
        <v>375</v>
      </c>
      <c r="J5" s="10">
        <v>0</v>
      </c>
      <c r="K5" s="11"/>
      <c r="L5" s="12"/>
      <c r="M5" s="13">
        <f>C5-H5-I5+L5-K5-J5</f>
        <v>270.59999999999991</v>
      </c>
      <c r="N5" s="14">
        <f t="shared" si="0"/>
        <v>3625</v>
      </c>
      <c r="O5" s="29" t="s">
        <v>47</v>
      </c>
      <c r="P5" s="33">
        <f t="shared" si="1"/>
        <v>27.059999999999992</v>
      </c>
      <c r="Q5" s="33">
        <f t="shared" si="2"/>
        <v>29.224799999999991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ref="F6:F37" si="5">$D$4</f>
        <v>419.88</v>
      </c>
      <c r="G6" s="9">
        <f t="shared" si="4"/>
        <v>2939.16</v>
      </c>
      <c r="H6" s="38">
        <v>3354.4</v>
      </c>
      <c r="I6" s="18">
        <v>75</v>
      </c>
      <c r="J6" s="18">
        <v>70</v>
      </c>
      <c r="K6" s="11"/>
      <c r="L6" s="12"/>
      <c r="M6" s="13">
        <f t="shared" ref="M6:M56" si="6">C6-H6-I6+L6-K6-J6</f>
        <v>11500.6</v>
      </c>
      <c r="N6" s="14">
        <f t="shared" si="0"/>
        <v>14855</v>
      </c>
      <c r="O6" s="30" t="s">
        <v>47</v>
      </c>
      <c r="P6" s="33">
        <f t="shared" si="1"/>
        <v>1150.0600000000002</v>
      </c>
      <c r="Q6" s="33">
        <f t="shared" si="2"/>
        <v>1242.0648000000003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5"/>
        <v>419.88</v>
      </c>
      <c r="G7" s="9">
        <f t="shared" si="4"/>
        <v>2939.16</v>
      </c>
      <c r="H7" s="38">
        <v>3354.4</v>
      </c>
      <c r="I7" s="10">
        <v>75</v>
      </c>
      <c r="J7" s="10">
        <v>70</v>
      </c>
      <c r="K7" s="21"/>
      <c r="L7" s="12"/>
      <c r="M7" s="13">
        <f t="shared" si="6"/>
        <v>500.59999999999991</v>
      </c>
      <c r="N7" s="14">
        <f t="shared" si="0"/>
        <v>3855</v>
      </c>
      <c r="O7" s="36" t="s">
        <v>47</v>
      </c>
      <c r="P7" s="33">
        <f t="shared" si="1"/>
        <v>50.059999999999995</v>
      </c>
      <c r="Q7" s="33">
        <f t="shared" si="2"/>
        <v>54.064799999999998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5"/>
        <v>419.88</v>
      </c>
      <c r="G8" s="9">
        <f t="shared" si="4"/>
        <v>2939.16</v>
      </c>
      <c r="H8" s="37">
        <v>3354.2</v>
      </c>
      <c r="I8" s="10">
        <v>225</v>
      </c>
      <c r="J8" s="10">
        <v>0</v>
      </c>
      <c r="K8" s="11"/>
      <c r="L8" s="12"/>
      <c r="M8" s="13">
        <f t="shared" si="6"/>
        <v>920.80000000000018</v>
      </c>
      <c r="N8" s="14">
        <f t="shared" si="0"/>
        <v>4275</v>
      </c>
      <c r="O8" s="30" t="s">
        <v>47</v>
      </c>
      <c r="P8" s="33">
        <f t="shared" si="1"/>
        <v>92.080000000000027</v>
      </c>
      <c r="Q8" s="33">
        <f t="shared" si="2"/>
        <v>99.44640000000004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5"/>
        <v>419.88</v>
      </c>
      <c r="G9" s="9">
        <f t="shared" si="4"/>
        <v>2939.16</v>
      </c>
      <c r="H9" s="37">
        <v>3096.4</v>
      </c>
      <c r="I9" s="10">
        <v>150</v>
      </c>
      <c r="J9" s="10">
        <v>70</v>
      </c>
      <c r="K9" s="16">
        <v>257.74</v>
      </c>
      <c r="L9" s="19"/>
      <c r="M9" s="13">
        <f>C9-H9-I9+L9-K9-J9</f>
        <v>425.8599999999999</v>
      </c>
      <c r="N9" s="14">
        <f t="shared" si="0"/>
        <v>3522.26</v>
      </c>
      <c r="O9" s="30" t="s">
        <v>47</v>
      </c>
      <c r="P9" s="33">
        <f t="shared" si="1"/>
        <v>42.585999999999991</v>
      </c>
      <c r="Q9" s="33">
        <f t="shared" si="2"/>
        <v>45.992879999999992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5"/>
        <v>419.88</v>
      </c>
      <c r="G10" s="9">
        <f t="shared" si="4"/>
        <v>2939.16</v>
      </c>
      <c r="H10" s="37">
        <v>3354.4</v>
      </c>
      <c r="I10" s="10">
        <v>0</v>
      </c>
      <c r="J10" s="10">
        <v>0</v>
      </c>
      <c r="K10" s="20"/>
      <c r="L10" s="19"/>
      <c r="M10" s="13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5"/>
        <v>419.88</v>
      </c>
      <c r="G11" s="9">
        <f t="shared" si="4"/>
        <v>2939.16</v>
      </c>
      <c r="H11" s="37">
        <v>3354.4</v>
      </c>
      <c r="I11" s="10">
        <v>150</v>
      </c>
      <c r="J11" s="10">
        <v>0</v>
      </c>
      <c r="K11" s="11"/>
      <c r="L11" s="12"/>
      <c r="M11" s="13">
        <f>C11-H11-I11+L11-K11-J11</f>
        <v>3495.6</v>
      </c>
      <c r="N11" s="14">
        <f t="shared" si="0"/>
        <v>6850</v>
      </c>
      <c r="O11" s="30" t="s">
        <v>47</v>
      </c>
      <c r="P11" s="33">
        <f t="shared" si="1"/>
        <v>349.56</v>
      </c>
      <c r="Q11" s="33">
        <f t="shared" si="2"/>
        <v>377.52480000000003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5"/>
        <v>419.88</v>
      </c>
      <c r="G12" s="9">
        <f t="shared" si="4"/>
        <v>2939.16</v>
      </c>
      <c r="H12" s="37">
        <v>3354.4</v>
      </c>
      <c r="I12" s="10">
        <v>225</v>
      </c>
      <c r="J12" s="10">
        <v>0</v>
      </c>
      <c r="K12" s="21"/>
      <c r="L12" s="12"/>
      <c r="M12" s="13">
        <f>C12-H12-I12+L12-K12-J12</f>
        <v>1420.6</v>
      </c>
      <c r="N12" s="14">
        <f t="shared" si="0"/>
        <v>4775</v>
      </c>
      <c r="O12" s="30" t="s">
        <v>47</v>
      </c>
      <c r="P12" s="33">
        <f t="shared" si="1"/>
        <v>142.06</v>
      </c>
      <c r="Q12" s="33">
        <f t="shared" si="2"/>
        <v>153.4248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5"/>
        <v>419.88</v>
      </c>
      <c r="G13" s="9">
        <f t="shared" si="4"/>
        <v>2939.16</v>
      </c>
      <c r="H13" s="37">
        <v>3170</v>
      </c>
      <c r="I13" s="10">
        <v>225</v>
      </c>
      <c r="J13" s="10">
        <v>105</v>
      </c>
      <c r="K13" s="21"/>
      <c r="L13" s="12"/>
      <c r="M13" s="13">
        <f>C13-H13-I13+L13-K13-J13</f>
        <v>0</v>
      </c>
      <c r="N13" s="14">
        <f t="shared" si="0"/>
        <v>3170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3500</v>
      </c>
      <c r="D14" s="7">
        <v>419.88</v>
      </c>
      <c r="E14" s="8">
        <f t="shared" si="3"/>
        <v>2519.2799999999997</v>
      </c>
      <c r="F14" s="8">
        <f t="shared" si="5"/>
        <v>419.88</v>
      </c>
      <c r="G14" s="9">
        <f t="shared" si="4"/>
        <v>2939.16</v>
      </c>
      <c r="H14" s="38">
        <v>3056.2</v>
      </c>
      <c r="I14" s="10">
        <v>150</v>
      </c>
      <c r="J14" s="10">
        <v>0</v>
      </c>
      <c r="K14" s="21">
        <v>293.92</v>
      </c>
      <c r="L14" s="12"/>
      <c r="M14" s="69">
        <f>C14-H14-I14+L14-K14-J14+0.12</f>
        <v>1.659783421814609E-13</v>
      </c>
      <c r="N14" s="14">
        <f t="shared" si="0"/>
        <v>3056.2</v>
      </c>
      <c r="O14" s="36" t="s">
        <v>47</v>
      </c>
      <c r="P14" s="33">
        <f t="shared" si="1"/>
        <v>1.659783421814609E-14</v>
      </c>
      <c r="Q14" s="33">
        <f t="shared" si="2"/>
        <v>1.7925660955597778E-14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5"/>
        <v>419.88</v>
      </c>
      <c r="G15" s="9">
        <f t="shared" si="4"/>
        <v>2939.16</v>
      </c>
      <c r="H15" s="37">
        <v>3354.2</v>
      </c>
      <c r="I15" s="10">
        <v>525</v>
      </c>
      <c r="J15" s="10">
        <v>0</v>
      </c>
      <c r="K15" s="22"/>
      <c r="L15" s="12"/>
      <c r="M15" s="13">
        <f t="shared" si="6"/>
        <v>120.80000000000018</v>
      </c>
      <c r="N15" s="14">
        <f t="shared" si="0"/>
        <v>3475</v>
      </c>
      <c r="O15" s="30" t="s">
        <v>47</v>
      </c>
      <c r="P15" s="33">
        <f t="shared" si="1"/>
        <v>12.08000000000002</v>
      </c>
      <c r="Q15" s="33">
        <f t="shared" si="2"/>
        <v>13.046400000000022</v>
      </c>
    </row>
    <row r="16" spans="1:17" x14ac:dyDescent="0.25">
      <c r="A16" s="5">
        <v>151</v>
      </c>
      <c r="B16" s="6" t="s">
        <v>25</v>
      </c>
      <c r="C16" s="7">
        <v>3500</v>
      </c>
      <c r="D16" s="7">
        <v>419.88</v>
      </c>
      <c r="E16" s="8">
        <f t="shared" si="3"/>
        <v>2519.2799999999997</v>
      </c>
      <c r="F16" s="8">
        <f t="shared" si="5"/>
        <v>419.88</v>
      </c>
      <c r="G16" s="9">
        <f t="shared" si="4"/>
        <v>2939.16</v>
      </c>
      <c r="H16" s="37">
        <v>3056.2</v>
      </c>
      <c r="I16" s="10">
        <v>150</v>
      </c>
      <c r="J16" s="10">
        <v>0</v>
      </c>
      <c r="K16" s="21">
        <v>293.92</v>
      </c>
      <c r="L16" s="12"/>
      <c r="M16" s="69">
        <f>C16-H16-I16+L16-K16-J16+0.12</f>
        <v>1.659783421814609E-13</v>
      </c>
      <c r="N16" s="14">
        <f t="shared" si="0"/>
        <v>3056.2</v>
      </c>
      <c r="O16" s="29" t="s">
        <v>47</v>
      </c>
      <c r="P16" s="33">
        <f t="shared" si="1"/>
        <v>1.659783421814609E-14</v>
      </c>
      <c r="Q16" s="33">
        <f t="shared" si="2"/>
        <v>1.7925660955597778E-14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5"/>
        <v>419.88</v>
      </c>
      <c r="G17" s="9">
        <f t="shared" si="4"/>
        <v>2939.16</v>
      </c>
      <c r="H17" s="37">
        <v>3354.4</v>
      </c>
      <c r="I17" s="10">
        <v>0</v>
      </c>
      <c r="J17" s="10">
        <v>0</v>
      </c>
      <c r="K17" s="21"/>
      <c r="L17" s="19"/>
      <c r="M17" s="13">
        <f t="shared" si="6"/>
        <v>645.59999999999991</v>
      </c>
      <c r="N17" s="14">
        <f t="shared" si="0"/>
        <v>4000</v>
      </c>
      <c r="O17" s="29" t="s">
        <v>47</v>
      </c>
      <c r="P17" s="33">
        <f t="shared" si="1"/>
        <v>64.559999999999988</v>
      </c>
      <c r="Q17" s="33">
        <f t="shared" si="2"/>
        <v>69.724799999999988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5"/>
        <v>419.88</v>
      </c>
      <c r="G18" s="9">
        <f t="shared" si="4"/>
        <v>2939.16</v>
      </c>
      <c r="H18" s="37">
        <v>3120.2</v>
      </c>
      <c r="I18" s="10">
        <v>300</v>
      </c>
      <c r="J18" s="10">
        <v>105</v>
      </c>
      <c r="K18" s="21">
        <v>293.92</v>
      </c>
      <c r="L18" s="12"/>
      <c r="M18" s="13">
        <f t="shared" si="6"/>
        <v>180.88000000000017</v>
      </c>
      <c r="N18" s="14">
        <f t="shared" si="0"/>
        <v>3301.08</v>
      </c>
      <c r="O18" s="29" t="s">
        <v>47</v>
      </c>
      <c r="P18" s="33">
        <f t="shared" si="1"/>
        <v>18.088000000000019</v>
      </c>
      <c r="Q18" s="33">
        <f t="shared" si="2"/>
        <v>19.53504000000002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5"/>
        <v>419.88</v>
      </c>
      <c r="G19" s="9">
        <f t="shared" si="4"/>
        <v>2939.16</v>
      </c>
      <c r="H19" s="37">
        <v>2345.1999999999998</v>
      </c>
      <c r="I19" s="10">
        <v>0</v>
      </c>
      <c r="J19" s="10">
        <v>0</v>
      </c>
      <c r="K19" s="16">
        <v>938.81</v>
      </c>
      <c r="L19" s="19"/>
      <c r="M19" s="13">
        <f t="shared" si="6"/>
        <v>6715.99</v>
      </c>
      <c r="N19" s="14">
        <f t="shared" si="0"/>
        <v>9061.1899999999987</v>
      </c>
      <c r="O19" s="29" t="s">
        <v>50</v>
      </c>
      <c r="P19" s="33">
        <f t="shared" si="1"/>
        <v>671.59900000000005</v>
      </c>
      <c r="Q19" s="33">
        <f t="shared" si="2"/>
        <v>725.32692000000009</v>
      </c>
    </row>
    <row r="20" spans="1:17" x14ac:dyDescent="0.25">
      <c r="A20" s="5">
        <v>184</v>
      </c>
      <c r="B20" s="6" t="s">
        <v>29</v>
      </c>
      <c r="C20" s="7">
        <v>7000</v>
      </c>
      <c r="D20" s="7">
        <v>419.88</v>
      </c>
      <c r="E20" s="8">
        <f t="shared" si="3"/>
        <v>2519.2799999999997</v>
      </c>
      <c r="F20" s="8">
        <f t="shared" si="5"/>
        <v>419.88</v>
      </c>
      <c r="G20" s="9">
        <f t="shared" si="4"/>
        <v>2939.16</v>
      </c>
      <c r="H20" s="37">
        <v>3469.6</v>
      </c>
      <c r="I20" s="10">
        <v>375</v>
      </c>
      <c r="J20" s="10">
        <v>105</v>
      </c>
      <c r="K20" s="21"/>
      <c r="L20" s="19">
        <v>750</v>
      </c>
      <c r="M20" s="13">
        <f t="shared" si="6"/>
        <v>3800.4</v>
      </c>
      <c r="N20" s="14">
        <f t="shared" si="0"/>
        <v>7270</v>
      </c>
      <c r="O20" s="29" t="s">
        <v>47</v>
      </c>
      <c r="P20" s="33">
        <f t="shared" si="1"/>
        <v>380.04</v>
      </c>
      <c r="Q20" s="33">
        <f t="shared" si="2"/>
        <v>410.44320000000005</v>
      </c>
    </row>
    <row r="21" spans="1:17" s="55" customFormat="1" x14ac:dyDescent="0.25">
      <c r="A21" s="5">
        <v>199</v>
      </c>
      <c r="B21" s="6" t="s">
        <v>31</v>
      </c>
      <c r="C21" s="7">
        <v>4000</v>
      </c>
      <c r="D21" s="7">
        <v>419.88</v>
      </c>
      <c r="E21" s="8">
        <f t="shared" si="3"/>
        <v>2519.2799999999997</v>
      </c>
      <c r="F21" s="8">
        <f t="shared" si="5"/>
        <v>419.88</v>
      </c>
      <c r="G21" s="9">
        <f t="shared" si="4"/>
        <v>2939.16</v>
      </c>
      <c r="H21" s="37">
        <v>3354.2</v>
      </c>
      <c r="I21" s="10">
        <v>0</v>
      </c>
      <c r="J21" s="10">
        <v>0</v>
      </c>
      <c r="K21" s="16">
        <v>500</v>
      </c>
      <c r="L21" s="19"/>
      <c r="M21" s="13">
        <f t="shared" si="6"/>
        <v>145.80000000000018</v>
      </c>
      <c r="N21" s="14">
        <f t="shared" si="0"/>
        <v>3500</v>
      </c>
      <c r="O21" s="29" t="s">
        <v>47</v>
      </c>
      <c r="P21" s="33">
        <f t="shared" si="1"/>
        <v>14.58000000000002</v>
      </c>
      <c r="Q21" s="33">
        <f t="shared" si="2"/>
        <v>15.746400000000023</v>
      </c>
    </row>
    <row r="22" spans="1:17" s="55" customFormat="1" ht="13.5" customHeight="1" x14ac:dyDescent="0.25">
      <c r="A22" s="5">
        <v>204</v>
      </c>
      <c r="B22" s="6" t="s">
        <v>33</v>
      </c>
      <c r="C22" s="7">
        <v>4000</v>
      </c>
      <c r="D22" s="7">
        <v>419.88</v>
      </c>
      <c r="E22" s="8">
        <f t="shared" si="3"/>
        <v>2519.2799999999997</v>
      </c>
      <c r="F22" s="8">
        <f t="shared" si="5"/>
        <v>419.88</v>
      </c>
      <c r="G22" s="9">
        <f t="shared" si="4"/>
        <v>2939.16</v>
      </c>
      <c r="H22" s="37">
        <v>3354.2</v>
      </c>
      <c r="I22" s="10">
        <v>75</v>
      </c>
      <c r="J22" s="10">
        <v>70</v>
      </c>
      <c r="K22" s="11"/>
      <c r="L22" s="19"/>
      <c r="M22" s="13">
        <f t="shared" si="6"/>
        <v>500.80000000000018</v>
      </c>
      <c r="N22" s="14">
        <f t="shared" si="0"/>
        <v>3855</v>
      </c>
      <c r="O22" s="29" t="s">
        <v>47</v>
      </c>
      <c r="P22" s="33">
        <f t="shared" si="1"/>
        <v>50.08000000000002</v>
      </c>
      <c r="Q22" s="33">
        <f t="shared" si="2"/>
        <v>54.086400000000026</v>
      </c>
    </row>
    <row r="23" spans="1:17" s="55" customFormat="1" x14ac:dyDescent="0.25">
      <c r="A23" s="5">
        <v>213</v>
      </c>
      <c r="B23" s="6" t="s">
        <v>34</v>
      </c>
      <c r="C23" s="7">
        <v>4000</v>
      </c>
      <c r="D23" s="7">
        <v>419.88</v>
      </c>
      <c r="E23" s="8">
        <f t="shared" si="3"/>
        <v>2519.2799999999997</v>
      </c>
      <c r="F23" s="8">
        <f t="shared" si="5"/>
        <v>419.88</v>
      </c>
      <c r="G23" s="9">
        <f t="shared" si="4"/>
        <v>2939.16</v>
      </c>
      <c r="H23" s="37">
        <v>3354.4</v>
      </c>
      <c r="I23" s="10">
        <v>0</v>
      </c>
      <c r="J23" s="10">
        <v>0</v>
      </c>
      <c r="K23" s="11"/>
      <c r="L23" s="19"/>
      <c r="M23" s="13">
        <f t="shared" si="6"/>
        <v>645.59999999999991</v>
      </c>
      <c r="N23" s="14">
        <f t="shared" si="0"/>
        <v>4000</v>
      </c>
      <c r="O23" s="29" t="s">
        <v>50</v>
      </c>
      <c r="P23" s="33">
        <f t="shared" si="1"/>
        <v>64.559999999999988</v>
      </c>
      <c r="Q23" s="33">
        <f t="shared" si="2"/>
        <v>69.724799999999988</v>
      </c>
    </row>
    <row r="24" spans="1:17" s="55" customFormat="1" x14ac:dyDescent="0.25">
      <c r="A24" s="5">
        <v>215</v>
      </c>
      <c r="B24" s="6" t="s">
        <v>35</v>
      </c>
      <c r="C24" s="7">
        <v>5000</v>
      </c>
      <c r="D24" s="7">
        <v>419.88</v>
      </c>
      <c r="E24" s="8">
        <f t="shared" si="3"/>
        <v>2519.2799999999997</v>
      </c>
      <c r="F24" s="8">
        <f t="shared" si="5"/>
        <v>419.88</v>
      </c>
      <c r="G24" s="9">
        <f t="shared" si="4"/>
        <v>2939.16</v>
      </c>
      <c r="H24" s="37">
        <v>3120.2</v>
      </c>
      <c r="I24" s="10">
        <v>225</v>
      </c>
      <c r="J24" s="10">
        <v>35</v>
      </c>
      <c r="K24" s="21">
        <v>293.92</v>
      </c>
      <c r="L24" s="19"/>
      <c r="M24" s="13">
        <f t="shared" si="6"/>
        <v>1325.88</v>
      </c>
      <c r="N24" s="14">
        <f t="shared" si="0"/>
        <v>4446.08</v>
      </c>
      <c r="O24" s="29" t="s">
        <v>47</v>
      </c>
      <c r="P24" s="33">
        <f t="shared" si="1"/>
        <v>132.58800000000002</v>
      </c>
      <c r="Q24" s="33">
        <f t="shared" si="2"/>
        <v>143.19504000000003</v>
      </c>
    </row>
    <row r="25" spans="1:17" s="55" customFormat="1" x14ac:dyDescent="0.25">
      <c r="A25" s="5">
        <v>218</v>
      </c>
      <c r="B25" s="6" t="s">
        <v>36</v>
      </c>
      <c r="C25" s="7">
        <v>3500</v>
      </c>
      <c r="D25" s="7">
        <v>419.88</v>
      </c>
      <c r="E25" s="8">
        <f t="shared" si="3"/>
        <v>2519.2799999999997</v>
      </c>
      <c r="F25" s="8">
        <f t="shared" si="5"/>
        <v>419.88</v>
      </c>
      <c r="G25" s="9">
        <f t="shared" si="4"/>
        <v>2939.16</v>
      </c>
      <c r="H25" s="37">
        <v>3354.4</v>
      </c>
      <c r="I25" s="10">
        <v>0</v>
      </c>
      <c r="J25" s="10">
        <v>0</v>
      </c>
      <c r="K25" s="21"/>
      <c r="L25" s="12"/>
      <c r="M25" s="13">
        <f t="shared" si="6"/>
        <v>145.59999999999991</v>
      </c>
      <c r="N25" s="14">
        <f t="shared" si="0"/>
        <v>3500</v>
      </c>
      <c r="O25" s="29" t="s">
        <v>49</v>
      </c>
      <c r="P25" s="33">
        <f t="shared" si="1"/>
        <v>14.559999999999992</v>
      </c>
      <c r="Q25" s="33">
        <f t="shared" si="2"/>
        <v>15.724799999999991</v>
      </c>
    </row>
    <row r="26" spans="1:17" s="55" customFormat="1" x14ac:dyDescent="0.25">
      <c r="A26" s="36">
        <v>220</v>
      </c>
      <c r="B26" s="6" t="s">
        <v>37</v>
      </c>
      <c r="C26" s="7">
        <v>4000</v>
      </c>
      <c r="D26" s="7">
        <v>419.88</v>
      </c>
      <c r="E26" s="8">
        <f t="shared" si="3"/>
        <v>2519.2799999999997</v>
      </c>
      <c r="F26" s="8">
        <f t="shared" si="5"/>
        <v>419.88</v>
      </c>
      <c r="G26" s="9">
        <f t="shared" si="4"/>
        <v>2939.16</v>
      </c>
      <c r="H26" s="38">
        <v>3354.2</v>
      </c>
      <c r="I26" s="10">
        <v>375</v>
      </c>
      <c r="J26" s="10">
        <v>140</v>
      </c>
      <c r="K26" s="21">
        <v>0</v>
      </c>
      <c r="L26" s="12"/>
      <c r="M26" s="13">
        <f t="shared" si="6"/>
        <v>130.80000000000018</v>
      </c>
      <c r="N26" s="14">
        <f t="shared" si="0"/>
        <v>3485</v>
      </c>
      <c r="O26" s="36" t="s">
        <v>47</v>
      </c>
      <c r="P26" s="33">
        <f t="shared" si="1"/>
        <v>13.08000000000002</v>
      </c>
      <c r="Q26" s="33">
        <f t="shared" si="2"/>
        <v>14.126400000000022</v>
      </c>
    </row>
    <row r="27" spans="1:17" s="55" customFormat="1" x14ac:dyDescent="0.25">
      <c r="A27" s="5">
        <v>221</v>
      </c>
      <c r="B27" s="6" t="s">
        <v>38</v>
      </c>
      <c r="C27" s="7">
        <v>4000</v>
      </c>
      <c r="D27" s="7">
        <v>419.88</v>
      </c>
      <c r="E27" s="8">
        <f t="shared" si="3"/>
        <v>2519.2799999999997</v>
      </c>
      <c r="F27" s="8">
        <f t="shared" si="5"/>
        <v>419.88</v>
      </c>
      <c r="G27" s="9">
        <f t="shared" si="4"/>
        <v>2939.16</v>
      </c>
      <c r="H27" s="37">
        <v>3354.2</v>
      </c>
      <c r="I27" s="10">
        <v>375</v>
      </c>
      <c r="J27" s="10">
        <v>0</v>
      </c>
      <c r="K27" s="21"/>
      <c r="L27" s="12"/>
      <c r="M27" s="13">
        <f t="shared" si="6"/>
        <v>270.80000000000018</v>
      </c>
      <c r="N27" s="14">
        <f t="shared" si="0"/>
        <v>3625</v>
      </c>
      <c r="O27" s="29" t="s">
        <v>47</v>
      </c>
      <c r="P27" s="33">
        <f t="shared" si="1"/>
        <v>27.08000000000002</v>
      </c>
      <c r="Q27" s="33">
        <f t="shared" si="2"/>
        <v>29.246400000000023</v>
      </c>
    </row>
    <row r="28" spans="1:17" s="55" customFormat="1" x14ac:dyDescent="0.25">
      <c r="A28" s="5">
        <v>222</v>
      </c>
      <c r="B28" s="6" t="s">
        <v>39</v>
      </c>
      <c r="C28" s="7">
        <v>7000</v>
      </c>
      <c r="D28" s="7">
        <v>419.88</v>
      </c>
      <c r="E28" s="8">
        <f t="shared" si="3"/>
        <v>2519.2799999999997</v>
      </c>
      <c r="F28" s="8">
        <f t="shared" si="5"/>
        <v>419.88</v>
      </c>
      <c r="G28" s="9">
        <f t="shared" si="4"/>
        <v>2939.16</v>
      </c>
      <c r="H28" s="37">
        <v>3354.4</v>
      </c>
      <c r="I28" s="10">
        <v>375</v>
      </c>
      <c r="J28" s="10">
        <v>105</v>
      </c>
      <c r="K28" s="21"/>
      <c r="L28" s="19"/>
      <c r="M28" s="13">
        <f t="shared" si="6"/>
        <v>3165.6</v>
      </c>
      <c r="N28" s="14">
        <f t="shared" si="0"/>
        <v>6520</v>
      </c>
      <c r="O28" s="29" t="s">
        <v>47</v>
      </c>
      <c r="P28" s="33">
        <f t="shared" si="1"/>
        <v>316.56</v>
      </c>
      <c r="Q28" s="33">
        <f t="shared" si="2"/>
        <v>341.88480000000004</v>
      </c>
    </row>
    <row r="29" spans="1:17" s="55" customFormat="1" x14ac:dyDescent="0.25">
      <c r="A29" s="5">
        <v>226</v>
      </c>
      <c r="B29" s="6" t="s">
        <v>40</v>
      </c>
      <c r="C29" s="7">
        <v>7500</v>
      </c>
      <c r="D29" s="7">
        <v>419.88</v>
      </c>
      <c r="E29" s="8">
        <f t="shared" si="3"/>
        <v>2519.2799999999997</v>
      </c>
      <c r="F29" s="8">
        <f t="shared" si="5"/>
        <v>419.88</v>
      </c>
      <c r="G29" s="9">
        <f t="shared" si="4"/>
        <v>2939.16</v>
      </c>
      <c r="H29" s="37">
        <v>3120.2</v>
      </c>
      <c r="I29" s="10">
        <v>225</v>
      </c>
      <c r="J29" s="10">
        <v>70</v>
      </c>
      <c r="K29" s="21">
        <v>293.92</v>
      </c>
      <c r="L29" s="12"/>
      <c r="M29" s="13">
        <f t="shared" si="6"/>
        <v>3790.88</v>
      </c>
      <c r="N29" s="14">
        <f t="shared" si="0"/>
        <v>6911.08</v>
      </c>
      <c r="O29" s="29" t="s">
        <v>47</v>
      </c>
      <c r="P29" s="33">
        <f t="shared" si="1"/>
        <v>379.08800000000002</v>
      </c>
      <c r="Q29" s="33">
        <f t="shared" si="2"/>
        <v>409.41504000000003</v>
      </c>
    </row>
    <row r="30" spans="1:17" s="55" customFormat="1" x14ac:dyDescent="0.25">
      <c r="A30" s="5">
        <v>227</v>
      </c>
      <c r="B30" s="6" t="s">
        <v>41</v>
      </c>
      <c r="C30" s="7">
        <v>6000</v>
      </c>
      <c r="D30" s="7">
        <v>419.88</v>
      </c>
      <c r="E30" s="8">
        <f t="shared" si="3"/>
        <v>2519.2799999999997</v>
      </c>
      <c r="F30" s="8">
        <f t="shared" si="5"/>
        <v>419.88</v>
      </c>
      <c r="G30" s="9">
        <f t="shared" si="4"/>
        <v>2939.16</v>
      </c>
      <c r="H30" s="37">
        <v>3120.2</v>
      </c>
      <c r="I30" s="10">
        <v>150</v>
      </c>
      <c r="J30" s="10">
        <v>105</v>
      </c>
      <c r="K30" s="21">
        <v>293.92</v>
      </c>
      <c r="L30" s="12"/>
      <c r="M30" s="13">
        <f t="shared" si="6"/>
        <v>2330.88</v>
      </c>
      <c r="N30" s="14">
        <f t="shared" si="0"/>
        <v>5451.08</v>
      </c>
      <c r="O30" s="29" t="s">
        <v>47</v>
      </c>
      <c r="P30" s="33">
        <f t="shared" si="1"/>
        <v>233.08800000000002</v>
      </c>
      <c r="Q30" s="33">
        <f t="shared" si="2"/>
        <v>251.73504000000005</v>
      </c>
    </row>
    <row r="31" spans="1:17" s="55" customFormat="1" x14ac:dyDescent="0.25">
      <c r="A31" s="5">
        <v>233</v>
      </c>
      <c r="B31" s="6" t="s">
        <v>42</v>
      </c>
      <c r="C31" s="7">
        <v>6250</v>
      </c>
      <c r="D31" s="7">
        <v>419.88</v>
      </c>
      <c r="E31" s="8">
        <f t="shared" si="3"/>
        <v>2519.2799999999997</v>
      </c>
      <c r="F31" s="8">
        <f t="shared" si="5"/>
        <v>419.88</v>
      </c>
      <c r="G31" s="9">
        <f t="shared" si="4"/>
        <v>2939.16</v>
      </c>
      <c r="H31" s="37">
        <v>3354.2</v>
      </c>
      <c r="I31" s="10">
        <v>375</v>
      </c>
      <c r="J31" s="10">
        <v>35</v>
      </c>
      <c r="K31" s="21"/>
      <c r="L31" s="19"/>
      <c r="M31" s="13">
        <f t="shared" si="6"/>
        <v>2485.8000000000002</v>
      </c>
      <c r="N31" s="14">
        <f t="shared" si="0"/>
        <v>5840</v>
      </c>
      <c r="O31" s="31" t="s">
        <v>47</v>
      </c>
      <c r="P31" s="33">
        <f t="shared" si="1"/>
        <v>248.58000000000004</v>
      </c>
      <c r="Q31" s="33">
        <f t="shared" si="2"/>
        <v>268.46640000000008</v>
      </c>
    </row>
    <row r="32" spans="1:17" s="55" customFormat="1" x14ac:dyDescent="0.25">
      <c r="A32" s="5">
        <v>237</v>
      </c>
      <c r="B32" s="6" t="s">
        <v>43</v>
      </c>
      <c r="C32" s="7">
        <v>5000</v>
      </c>
      <c r="D32" s="7">
        <v>419.88</v>
      </c>
      <c r="E32" s="8">
        <f t="shared" si="3"/>
        <v>2519.2799999999997</v>
      </c>
      <c r="F32" s="8">
        <f t="shared" si="5"/>
        <v>419.88</v>
      </c>
      <c r="G32" s="9">
        <f t="shared" si="4"/>
        <v>2939.16</v>
      </c>
      <c r="H32" s="37">
        <v>3354.2</v>
      </c>
      <c r="I32" s="10">
        <v>75</v>
      </c>
      <c r="J32" s="10">
        <v>35</v>
      </c>
      <c r="K32" s="21"/>
      <c r="L32" s="19"/>
      <c r="M32" s="13">
        <f>C32-H32-I32+L32-K32-J32</f>
        <v>1535.8000000000002</v>
      </c>
      <c r="N32" s="14">
        <f>H32+M32</f>
        <v>4890</v>
      </c>
      <c r="O32" s="29" t="s">
        <v>47</v>
      </c>
      <c r="P32" s="33">
        <f>+M32*0.1</f>
        <v>153.58000000000004</v>
      </c>
      <c r="Q32" s="33">
        <f t="shared" si="2"/>
        <v>165.86640000000006</v>
      </c>
    </row>
    <row r="33" spans="1:17" s="55" customFormat="1" x14ac:dyDescent="0.25">
      <c r="A33" s="5">
        <v>244</v>
      </c>
      <c r="B33" s="6" t="s">
        <v>44</v>
      </c>
      <c r="C33" s="7">
        <v>5000</v>
      </c>
      <c r="D33" s="7">
        <v>419.88</v>
      </c>
      <c r="E33" s="8">
        <f t="shared" si="3"/>
        <v>2519.2799999999997</v>
      </c>
      <c r="F33" s="8">
        <f t="shared" si="5"/>
        <v>419.88</v>
      </c>
      <c r="G33" s="9">
        <f t="shared" si="4"/>
        <v>2939.16</v>
      </c>
      <c r="H33" s="37">
        <v>3354.4</v>
      </c>
      <c r="I33" s="10">
        <v>0</v>
      </c>
      <c r="J33" s="10">
        <v>0</v>
      </c>
      <c r="K33" s="21"/>
      <c r="L33" s="12"/>
      <c r="M33" s="13">
        <f>C33-H33-I33+L33-K33-J33</f>
        <v>1645.6</v>
      </c>
      <c r="N33" s="14">
        <f t="shared" si="0"/>
        <v>5000</v>
      </c>
      <c r="O33" s="29" t="s">
        <v>47</v>
      </c>
      <c r="P33" s="33">
        <f t="shared" si="1"/>
        <v>164.56</v>
      </c>
      <c r="Q33" s="33">
        <f t="shared" si="2"/>
        <v>177.72480000000002</v>
      </c>
    </row>
    <row r="34" spans="1:17" s="55" customFormat="1" x14ac:dyDescent="0.25">
      <c r="A34" s="5">
        <v>245</v>
      </c>
      <c r="B34" s="6" t="s">
        <v>45</v>
      </c>
      <c r="C34" s="7">
        <v>5000</v>
      </c>
      <c r="D34" s="7">
        <v>419.88</v>
      </c>
      <c r="E34" s="8">
        <f t="shared" si="3"/>
        <v>2519.2799999999997</v>
      </c>
      <c r="F34" s="8">
        <f t="shared" si="5"/>
        <v>419.88</v>
      </c>
      <c r="G34" s="9">
        <f t="shared" si="4"/>
        <v>2939.16</v>
      </c>
      <c r="H34" s="37">
        <v>3354.2</v>
      </c>
      <c r="I34" s="10">
        <v>150</v>
      </c>
      <c r="J34" s="10">
        <v>0</v>
      </c>
      <c r="K34" s="21"/>
      <c r="L34" s="19"/>
      <c r="M34" s="13">
        <f t="shared" si="6"/>
        <v>1495.8000000000002</v>
      </c>
      <c r="N34" s="14">
        <f t="shared" si="0"/>
        <v>4850</v>
      </c>
      <c r="O34" s="34">
        <v>2</v>
      </c>
      <c r="P34" s="33">
        <f t="shared" si="1"/>
        <v>149.58000000000001</v>
      </c>
      <c r="Q34" s="33">
        <f t="shared" si="2"/>
        <v>161.54640000000003</v>
      </c>
    </row>
    <row r="35" spans="1:17" s="55" customFormat="1" x14ac:dyDescent="0.25">
      <c r="A35" s="5">
        <v>252</v>
      </c>
      <c r="B35" s="6" t="s">
        <v>53</v>
      </c>
      <c r="C35" s="7">
        <v>4000</v>
      </c>
      <c r="D35" s="7">
        <v>419.88</v>
      </c>
      <c r="E35" s="8">
        <f t="shared" si="3"/>
        <v>2519.2799999999997</v>
      </c>
      <c r="F35" s="8">
        <f t="shared" si="5"/>
        <v>419.88</v>
      </c>
      <c r="G35" s="9">
        <f t="shared" si="4"/>
        <v>2939.16</v>
      </c>
      <c r="H35" s="37">
        <v>3354.4</v>
      </c>
      <c r="I35" s="10">
        <v>225</v>
      </c>
      <c r="J35" s="10">
        <v>70</v>
      </c>
      <c r="K35" s="21"/>
      <c r="L35" s="19"/>
      <c r="M35" s="13">
        <f t="shared" si="6"/>
        <v>350.59999999999991</v>
      </c>
      <c r="N35" s="14">
        <f t="shared" si="0"/>
        <v>3705</v>
      </c>
      <c r="O35" s="5" t="s">
        <v>47</v>
      </c>
      <c r="P35" s="33">
        <f t="shared" si="1"/>
        <v>35.059999999999995</v>
      </c>
      <c r="Q35" s="33">
        <f t="shared" si="2"/>
        <v>37.864799999999995</v>
      </c>
    </row>
    <row r="36" spans="1:17" s="55" customFormat="1" x14ac:dyDescent="0.25">
      <c r="A36" s="5">
        <v>260</v>
      </c>
      <c r="B36" s="6" t="s">
        <v>54</v>
      </c>
      <c r="C36" s="7">
        <v>5000</v>
      </c>
      <c r="D36" s="7">
        <v>419.88</v>
      </c>
      <c r="E36" s="8">
        <f t="shared" si="3"/>
        <v>2519.2799999999997</v>
      </c>
      <c r="F36" s="8">
        <f t="shared" si="5"/>
        <v>419.88</v>
      </c>
      <c r="G36" s="9">
        <f t="shared" si="4"/>
        <v>2939.16</v>
      </c>
      <c r="H36" s="37">
        <v>3354.4</v>
      </c>
      <c r="I36" s="10">
        <v>0</v>
      </c>
      <c r="J36" s="10">
        <v>0</v>
      </c>
      <c r="K36" s="21"/>
      <c r="L36" s="19"/>
      <c r="M36" s="13">
        <f t="shared" si="6"/>
        <v>1645.6</v>
      </c>
      <c r="N36" s="14">
        <f t="shared" si="0"/>
        <v>5000</v>
      </c>
      <c r="O36" s="5" t="s">
        <v>47</v>
      </c>
      <c r="P36" s="33">
        <f t="shared" si="1"/>
        <v>164.56</v>
      </c>
      <c r="Q36" s="33">
        <f t="shared" si="2"/>
        <v>177.72480000000002</v>
      </c>
    </row>
    <row r="37" spans="1:17" s="55" customFormat="1" x14ac:dyDescent="0.25">
      <c r="A37" s="5">
        <v>261</v>
      </c>
      <c r="B37" s="6" t="s">
        <v>55</v>
      </c>
      <c r="C37" s="7">
        <v>4000</v>
      </c>
      <c r="D37" s="7">
        <v>419.88</v>
      </c>
      <c r="E37" s="8">
        <f t="shared" si="3"/>
        <v>2519.2799999999997</v>
      </c>
      <c r="F37" s="8">
        <f t="shared" si="5"/>
        <v>419.88</v>
      </c>
      <c r="G37" s="9">
        <f t="shared" si="4"/>
        <v>2939.16</v>
      </c>
      <c r="H37" s="37">
        <v>2340</v>
      </c>
      <c r="I37" s="10">
        <v>375</v>
      </c>
      <c r="J37" s="10">
        <v>0</v>
      </c>
      <c r="K37" s="16">
        <v>944.31</v>
      </c>
      <c r="L37" s="19"/>
      <c r="M37" s="13">
        <f t="shared" si="6"/>
        <v>340.69000000000005</v>
      </c>
      <c r="N37" s="14">
        <f t="shared" si="0"/>
        <v>2680.69</v>
      </c>
      <c r="O37" s="5" t="s">
        <v>47</v>
      </c>
      <c r="P37" s="33">
        <f t="shared" si="1"/>
        <v>34.06900000000001</v>
      </c>
      <c r="Q37" s="33">
        <f t="shared" si="2"/>
        <v>36.794520000000013</v>
      </c>
    </row>
    <row r="38" spans="1:17" s="55" customFormat="1" x14ac:dyDescent="0.25">
      <c r="A38" s="5">
        <v>267</v>
      </c>
      <c r="B38" s="6" t="s">
        <v>56</v>
      </c>
      <c r="C38" s="7">
        <v>5000</v>
      </c>
      <c r="D38" s="7">
        <v>419.88</v>
      </c>
      <c r="E38" s="8">
        <f t="shared" si="3"/>
        <v>2519.2799999999997</v>
      </c>
      <c r="F38" s="8">
        <f>$D$4</f>
        <v>419.88</v>
      </c>
      <c r="G38" s="9">
        <f t="shared" si="4"/>
        <v>2939.16</v>
      </c>
      <c r="H38" s="37">
        <v>2842.4</v>
      </c>
      <c r="I38" s="10">
        <v>375</v>
      </c>
      <c r="J38" s="10">
        <v>70</v>
      </c>
      <c r="K38" s="16">
        <v>441.78</v>
      </c>
      <c r="L38" s="19"/>
      <c r="M38" s="13">
        <f t="shared" si="6"/>
        <v>1270.82</v>
      </c>
      <c r="N38" s="14">
        <f t="shared" si="0"/>
        <v>4113.22</v>
      </c>
      <c r="O38" s="5" t="s">
        <v>47</v>
      </c>
      <c r="P38" s="33">
        <f t="shared" si="1"/>
        <v>127.08199999999999</v>
      </c>
      <c r="Q38" s="33">
        <f t="shared" si="2"/>
        <v>137.24856</v>
      </c>
    </row>
    <row r="39" spans="1:17" s="55" customFormat="1" x14ac:dyDescent="0.25">
      <c r="A39" s="5">
        <v>268</v>
      </c>
      <c r="B39" s="6" t="s">
        <v>57</v>
      </c>
      <c r="C39" s="7">
        <v>4000</v>
      </c>
      <c r="D39" s="7">
        <v>419.88</v>
      </c>
      <c r="E39" s="8">
        <f t="shared" si="3"/>
        <v>2519.2799999999997</v>
      </c>
      <c r="F39" s="8">
        <f t="shared" ref="F39:F56" si="7">$D$4</f>
        <v>419.88</v>
      </c>
      <c r="G39" s="9">
        <f t="shared" si="4"/>
        <v>2939.16</v>
      </c>
      <c r="H39" s="37">
        <v>3354.4</v>
      </c>
      <c r="I39" s="10">
        <v>75</v>
      </c>
      <c r="J39" s="10">
        <v>0</v>
      </c>
      <c r="K39" s="11"/>
      <c r="L39" s="19"/>
      <c r="M39" s="13">
        <f t="shared" si="6"/>
        <v>570.59999999999991</v>
      </c>
      <c r="N39" s="14">
        <f t="shared" si="0"/>
        <v>3925</v>
      </c>
      <c r="O39" s="5" t="s">
        <v>47</v>
      </c>
      <c r="P39" s="33">
        <f t="shared" si="1"/>
        <v>57.059999999999995</v>
      </c>
      <c r="Q39" s="33">
        <f t="shared" si="2"/>
        <v>61.6248</v>
      </c>
    </row>
    <row r="40" spans="1:17" s="55" customFormat="1" x14ac:dyDescent="0.25">
      <c r="A40" s="5">
        <v>269</v>
      </c>
      <c r="B40" s="6" t="s">
        <v>58</v>
      </c>
      <c r="C40" s="7">
        <v>5000</v>
      </c>
      <c r="D40" s="7">
        <v>419.88</v>
      </c>
      <c r="E40" s="8">
        <f t="shared" si="3"/>
        <v>2519.2799999999997</v>
      </c>
      <c r="F40" s="8">
        <f t="shared" si="7"/>
        <v>419.88</v>
      </c>
      <c r="G40" s="9">
        <f t="shared" si="4"/>
        <v>2939.16</v>
      </c>
      <c r="H40" s="37">
        <v>3120.4</v>
      </c>
      <c r="I40" s="10">
        <v>375</v>
      </c>
      <c r="J40" s="10">
        <v>70</v>
      </c>
      <c r="K40" s="21">
        <v>293.92</v>
      </c>
      <c r="L40" s="19"/>
      <c r="M40" s="13">
        <f t="shared" si="6"/>
        <v>1140.6799999999998</v>
      </c>
      <c r="N40" s="14">
        <f t="shared" si="0"/>
        <v>4261.08</v>
      </c>
      <c r="O40" s="5" t="s">
        <v>47</v>
      </c>
      <c r="P40" s="33">
        <f t="shared" si="1"/>
        <v>114.06799999999998</v>
      </c>
      <c r="Q40" s="33">
        <f t="shared" si="2"/>
        <v>123.19344</v>
      </c>
    </row>
    <row r="41" spans="1:17" s="55" customFormat="1" x14ac:dyDescent="0.25">
      <c r="A41" s="5">
        <v>271</v>
      </c>
      <c r="B41" s="6" t="s">
        <v>59</v>
      </c>
      <c r="C41" s="7">
        <v>3500</v>
      </c>
      <c r="D41" s="7">
        <v>419.88</v>
      </c>
      <c r="E41" s="8">
        <f t="shared" si="3"/>
        <v>2519.2799999999997</v>
      </c>
      <c r="F41" s="8">
        <f t="shared" si="7"/>
        <v>419.88</v>
      </c>
      <c r="G41" s="9">
        <f t="shared" si="4"/>
        <v>2939.16</v>
      </c>
      <c r="H41" s="37">
        <v>3331.8</v>
      </c>
      <c r="I41" s="10">
        <v>75</v>
      </c>
      <c r="J41" s="10">
        <v>35</v>
      </c>
      <c r="K41" s="21">
        <v>167.95</v>
      </c>
      <c r="L41" s="19">
        <v>375</v>
      </c>
      <c r="M41" s="13">
        <f t="shared" si="6"/>
        <v>265.24999999999983</v>
      </c>
      <c r="N41" s="14">
        <f t="shared" si="0"/>
        <v>3597.05</v>
      </c>
      <c r="O41" s="5" t="s">
        <v>47</v>
      </c>
      <c r="P41" s="33">
        <f t="shared" si="1"/>
        <v>26.524999999999984</v>
      </c>
      <c r="Q41" s="33">
        <f t="shared" si="2"/>
        <v>28.646999999999984</v>
      </c>
    </row>
    <row r="42" spans="1:17" s="55" customFormat="1" x14ac:dyDescent="0.25">
      <c r="A42" s="5">
        <v>275</v>
      </c>
      <c r="B42" s="6" t="s">
        <v>60</v>
      </c>
      <c r="C42" s="7">
        <v>3375</v>
      </c>
      <c r="D42" s="7">
        <v>419.88</v>
      </c>
      <c r="E42" s="8">
        <f t="shared" si="3"/>
        <v>2519.2799999999997</v>
      </c>
      <c r="F42" s="8">
        <f t="shared" si="7"/>
        <v>419.88</v>
      </c>
      <c r="G42" s="9">
        <f t="shared" si="4"/>
        <v>2939.16</v>
      </c>
      <c r="H42" s="37">
        <v>3354.2</v>
      </c>
      <c r="I42" s="10">
        <v>0</v>
      </c>
      <c r="J42" s="10">
        <v>0</v>
      </c>
      <c r="K42" s="21"/>
      <c r="L42" s="19"/>
      <c r="M42" s="13">
        <f t="shared" si="6"/>
        <v>20.800000000000182</v>
      </c>
      <c r="N42" s="14">
        <f t="shared" si="0"/>
        <v>3375</v>
      </c>
      <c r="O42" s="5" t="s">
        <v>47</v>
      </c>
      <c r="P42" s="33">
        <f t="shared" si="1"/>
        <v>2.0800000000000183</v>
      </c>
      <c r="Q42" s="33">
        <f t="shared" si="2"/>
        <v>2.2464000000000199</v>
      </c>
    </row>
    <row r="43" spans="1:17" s="55" customFormat="1" x14ac:dyDescent="0.25">
      <c r="A43" s="5">
        <v>276</v>
      </c>
      <c r="B43" s="6" t="s">
        <v>61</v>
      </c>
      <c r="C43" s="7">
        <v>5000</v>
      </c>
      <c r="D43" s="7">
        <v>419.88</v>
      </c>
      <c r="E43" s="8">
        <f t="shared" si="3"/>
        <v>2519.2799999999997</v>
      </c>
      <c r="F43" s="8">
        <f t="shared" si="7"/>
        <v>419.88</v>
      </c>
      <c r="G43" s="9">
        <f t="shared" si="4"/>
        <v>2939.16</v>
      </c>
      <c r="H43" s="37">
        <v>3354.2</v>
      </c>
      <c r="I43" s="10">
        <v>375</v>
      </c>
      <c r="J43" s="10">
        <v>105</v>
      </c>
      <c r="K43" s="11"/>
      <c r="L43" s="19"/>
      <c r="M43" s="13">
        <f t="shared" si="6"/>
        <v>1165.8000000000002</v>
      </c>
      <c r="N43" s="14">
        <f t="shared" si="0"/>
        <v>4520</v>
      </c>
      <c r="O43" s="5" t="s">
        <v>47</v>
      </c>
      <c r="P43" s="33">
        <f t="shared" si="1"/>
        <v>116.58000000000003</v>
      </c>
      <c r="Q43" s="33">
        <f t="shared" si="2"/>
        <v>125.90640000000003</v>
      </c>
    </row>
    <row r="44" spans="1:17" s="55" customFormat="1" x14ac:dyDescent="0.25">
      <c r="A44" s="5">
        <v>278</v>
      </c>
      <c r="B44" s="6" t="s">
        <v>62</v>
      </c>
      <c r="C44" s="7">
        <v>5000</v>
      </c>
      <c r="D44" s="7">
        <v>419.88</v>
      </c>
      <c r="E44" s="8">
        <f t="shared" si="3"/>
        <v>2519.2799999999997</v>
      </c>
      <c r="F44" s="8">
        <f t="shared" si="7"/>
        <v>419.88</v>
      </c>
      <c r="G44" s="9">
        <f t="shared" si="4"/>
        <v>2939.16</v>
      </c>
      <c r="H44" s="37">
        <v>2879</v>
      </c>
      <c r="I44" s="10">
        <v>75</v>
      </c>
      <c r="J44" s="10">
        <v>0</v>
      </c>
      <c r="K44" s="21">
        <v>587.84</v>
      </c>
      <c r="L44" s="19"/>
      <c r="M44" s="13">
        <f t="shared" si="6"/>
        <v>1458.1599999999999</v>
      </c>
      <c r="N44" s="14">
        <f t="shared" si="0"/>
        <v>4337.16</v>
      </c>
      <c r="O44" s="5" t="s">
        <v>47</v>
      </c>
      <c r="P44" s="33">
        <f t="shared" si="1"/>
        <v>145.816</v>
      </c>
      <c r="Q44" s="33">
        <f t="shared" si="2"/>
        <v>157.48128000000003</v>
      </c>
    </row>
    <row r="45" spans="1:17" s="55" customFormat="1" x14ac:dyDescent="0.25">
      <c r="A45" s="5">
        <v>279</v>
      </c>
      <c r="B45" s="6" t="s">
        <v>63</v>
      </c>
      <c r="C45" s="7">
        <v>3500</v>
      </c>
      <c r="D45" s="7">
        <v>419.88</v>
      </c>
      <c r="E45" s="8">
        <f t="shared" si="3"/>
        <v>2519.2799999999997</v>
      </c>
      <c r="F45" s="8">
        <f t="shared" si="7"/>
        <v>419.88</v>
      </c>
      <c r="G45" s="9">
        <f t="shared" si="4"/>
        <v>2939.16</v>
      </c>
      <c r="H45" s="37">
        <v>3061.2</v>
      </c>
      <c r="I45" s="10">
        <v>75</v>
      </c>
      <c r="J45" s="10">
        <v>70</v>
      </c>
      <c r="K45" s="21">
        <v>293.92</v>
      </c>
      <c r="L45" s="19"/>
      <c r="M45" s="69">
        <f>C45-H45-I45+L45-K45-J45+0.12</f>
        <v>1.659783421814609E-13</v>
      </c>
      <c r="N45" s="14">
        <f t="shared" si="0"/>
        <v>3061.2</v>
      </c>
      <c r="O45" s="5" t="s">
        <v>47</v>
      </c>
      <c r="P45" s="33">
        <f t="shared" si="1"/>
        <v>1.659783421814609E-14</v>
      </c>
      <c r="Q45" s="33">
        <f t="shared" si="2"/>
        <v>1.7925660955597778E-14</v>
      </c>
    </row>
    <row r="46" spans="1:17" s="55" customFormat="1" x14ac:dyDescent="0.25">
      <c r="A46" s="5">
        <v>280</v>
      </c>
      <c r="B46" s="6" t="s">
        <v>64</v>
      </c>
      <c r="C46" s="7">
        <v>5000</v>
      </c>
      <c r="D46" s="7">
        <v>419.88</v>
      </c>
      <c r="E46" s="8">
        <f t="shared" si="3"/>
        <v>2519.2799999999997</v>
      </c>
      <c r="F46" s="8">
        <f t="shared" si="7"/>
        <v>419.88</v>
      </c>
      <c r="G46" s="9">
        <f t="shared" si="4"/>
        <v>2939.16</v>
      </c>
      <c r="H46" s="37">
        <v>2879</v>
      </c>
      <c r="I46" s="10">
        <v>0</v>
      </c>
      <c r="J46" s="10">
        <v>0</v>
      </c>
      <c r="K46" s="11">
        <v>835.71</v>
      </c>
      <c r="L46" s="19"/>
      <c r="M46" s="13">
        <f t="shared" si="6"/>
        <v>1285.29</v>
      </c>
      <c r="N46" s="14">
        <f t="shared" si="0"/>
        <v>4164.29</v>
      </c>
      <c r="O46" s="5" t="s">
        <v>47</v>
      </c>
      <c r="P46" s="33">
        <f t="shared" si="1"/>
        <v>128.529</v>
      </c>
      <c r="Q46" s="33">
        <f t="shared" si="2"/>
        <v>138.81131999999999</v>
      </c>
    </row>
    <row r="47" spans="1:17" s="55" customFormat="1" x14ac:dyDescent="0.25">
      <c r="A47" s="5">
        <v>281</v>
      </c>
      <c r="B47" s="6" t="s">
        <v>65</v>
      </c>
      <c r="C47" s="7">
        <v>8750</v>
      </c>
      <c r="D47" s="7">
        <v>419.88</v>
      </c>
      <c r="E47" s="8">
        <f t="shared" si="3"/>
        <v>2519.2799999999997</v>
      </c>
      <c r="F47" s="8">
        <f t="shared" si="7"/>
        <v>419.88</v>
      </c>
      <c r="G47" s="9">
        <f t="shared" si="4"/>
        <v>2939.16</v>
      </c>
      <c r="H47" s="37">
        <v>3354.2</v>
      </c>
      <c r="I47" s="10">
        <v>0</v>
      </c>
      <c r="J47" s="10">
        <v>0</v>
      </c>
      <c r="K47" s="11"/>
      <c r="L47" s="19"/>
      <c r="M47" s="13">
        <f t="shared" si="6"/>
        <v>5395.8</v>
      </c>
      <c r="N47" s="14">
        <f t="shared" si="0"/>
        <v>8750</v>
      </c>
      <c r="O47" s="5" t="s">
        <v>47</v>
      </c>
      <c r="P47" s="33">
        <f t="shared" si="1"/>
        <v>539.58000000000004</v>
      </c>
      <c r="Q47" s="33">
        <f t="shared" si="2"/>
        <v>582.74640000000011</v>
      </c>
    </row>
    <row r="48" spans="1:17" x14ac:dyDescent="0.25">
      <c r="A48" s="5">
        <v>283</v>
      </c>
      <c r="B48" s="6" t="s">
        <v>66</v>
      </c>
      <c r="C48" s="7">
        <v>5000</v>
      </c>
      <c r="D48" s="7">
        <v>419.88</v>
      </c>
      <c r="E48" s="8">
        <f t="shared" si="3"/>
        <v>2519.2799999999997</v>
      </c>
      <c r="F48" s="8">
        <f t="shared" si="7"/>
        <v>419.88</v>
      </c>
      <c r="G48" s="9">
        <f t="shared" si="4"/>
        <v>2939.16</v>
      </c>
      <c r="H48" s="37">
        <v>3354.4</v>
      </c>
      <c r="I48" s="10">
        <v>0</v>
      </c>
      <c r="J48" s="10">
        <v>35</v>
      </c>
      <c r="K48" s="11"/>
      <c r="L48" s="19"/>
      <c r="M48" s="13">
        <f t="shared" si="6"/>
        <v>1610.6</v>
      </c>
      <c r="N48" s="14">
        <f t="shared" si="0"/>
        <v>4965</v>
      </c>
      <c r="O48" s="5" t="s">
        <v>47</v>
      </c>
      <c r="P48" s="33">
        <f t="shared" si="1"/>
        <v>161.06</v>
      </c>
      <c r="Q48" s="33">
        <f t="shared" si="2"/>
        <v>173.94480000000001</v>
      </c>
    </row>
    <row r="49" spans="1:18" x14ac:dyDescent="0.25">
      <c r="A49" s="5">
        <v>284</v>
      </c>
      <c r="B49" s="6" t="s">
        <v>67</v>
      </c>
      <c r="C49" s="7">
        <v>4000</v>
      </c>
      <c r="D49" s="7">
        <v>419.88</v>
      </c>
      <c r="E49" s="8">
        <f t="shared" si="3"/>
        <v>2519.2799999999997</v>
      </c>
      <c r="F49" s="8">
        <f t="shared" si="7"/>
        <v>419.88</v>
      </c>
      <c r="G49" s="9">
        <f t="shared" si="4"/>
        <v>2939.16</v>
      </c>
      <c r="H49" s="37">
        <v>3354.2</v>
      </c>
      <c r="I49" s="10">
        <v>75</v>
      </c>
      <c r="J49" s="10">
        <v>0</v>
      </c>
      <c r="K49" s="11"/>
      <c r="L49" s="19"/>
      <c r="M49" s="13">
        <f t="shared" si="6"/>
        <v>570.80000000000018</v>
      </c>
      <c r="N49" s="14">
        <f t="shared" si="0"/>
        <v>3925</v>
      </c>
      <c r="O49" s="5" t="s">
        <v>47</v>
      </c>
      <c r="P49" s="33">
        <f t="shared" si="1"/>
        <v>57.08000000000002</v>
      </c>
      <c r="Q49" s="33">
        <f t="shared" si="2"/>
        <v>61.646400000000028</v>
      </c>
    </row>
    <row r="50" spans="1:18" x14ac:dyDescent="0.25">
      <c r="A50" s="5">
        <v>285</v>
      </c>
      <c r="B50" s="6" t="s">
        <v>68</v>
      </c>
      <c r="C50" s="7">
        <v>4000</v>
      </c>
      <c r="D50" s="7">
        <v>419.88</v>
      </c>
      <c r="E50" s="8">
        <f t="shared" si="3"/>
        <v>2519.2799999999997</v>
      </c>
      <c r="F50" s="8">
        <f t="shared" si="7"/>
        <v>419.88</v>
      </c>
      <c r="G50" s="9">
        <f t="shared" si="4"/>
        <v>2939.16</v>
      </c>
      <c r="H50" s="37">
        <v>3354.4</v>
      </c>
      <c r="I50" s="10">
        <v>75</v>
      </c>
      <c r="J50" s="10">
        <v>0</v>
      </c>
      <c r="K50" s="11"/>
      <c r="L50" s="19"/>
      <c r="M50" s="13">
        <f t="shared" si="6"/>
        <v>570.59999999999991</v>
      </c>
      <c r="N50" s="14">
        <f t="shared" si="0"/>
        <v>3925</v>
      </c>
      <c r="O50" s="5" t="s">
        <v>47</v>
      </c>
      <c r="P50" s="33">
        <f t="shared" si="1"/>
        <v>57.059999999999995</v>
      </c>
      <c r="Q50" s="33">
        <f t="shared" si="2"/>
        <v>61.6248</v>
      </c>
    </row>
    <row r="51" spans="1:18" x14ac:dyDescent="0.25">
      <c r="A51" s="5">
        <v>286</v>
      </c>
      <c r="B51" s="6" t="s">
        <v>69</v>
      </c>
      <c r="C51" s="7">
        <v>4000</v>
      </c>
      <c r="D51" s="7">
        <v>419.88</v>
      </c>
      <c r="E51" s="8">
        <f t="shared" si="3"/>
        <v>2519.2799999999997</v>
      </c>
      <c r="F51" s="8">
        <f t="shared" si="7"/>
        <v>419.88</v>
      </c>
      <c r="G51" s="9">
        <f t="shared" si="4"/>
        <v>2939.16</v>
      </c>
      <c r="H51" s="37">
        <v>3354.4</v>
      </c>
      <c r="I51" s="10">
        <v>375</v>
      </c>
      <c r="J51" s="10">
        <v>0</v>
      </c>
      <c r="K51" s="11"/>
      <c r="L51" s="19"/>
      <c r="M51" s="13">
        <f t="shared" si="6"/>
        <v>270.59999999999991</v>
      </c>
      <c r="N51" s="14">
        <f t="shared" si="0"/>
        <v>3625</v>
      </c>
      <c r="O51" s="5" t="s">
        <v>47</v>
      </c>
      <c r="P51" s="33">
        <f t="shared" si="1"/>
        <v>27.059999999999992</v>
      </c>
      <c r="Q51" s="33">
        <f t="shared" si="2"/>
        <v>29.224799999999991</v>
      </c>
    </row>
    <row r="52" spans="1:18" x14ac:dyDescent="0.25">
      <c r="A52" s="5">
        <v>287</v>
      </c>
      <c r="B52" s="6" t="s">
        <v>72</v>
      </c>
      <c r="C52" s="7">
        <v>5000</v>
      </c>
      <c r="D52" s="7">
        <v>419.88</v>
      </c>
      <c r="E52" s="8">
        <f t="shared" si="3"/>
        <v>2519.2799999999997</v>
      </c>
      <c r="F52" s="8">
        <f t="shared" si="7"/>
        <v>419.88</v>
      </c>
      <c r="G52" s="9">
        <f t="shared" si="4"/>
        <v>2939.16</v>
      </c>
      <c r="H52" s="37">
        <v>3354.2</v>
      </c>
      <c r="I52" s="10">
        <v>375</v>
      </c>
      <c r="J52" s="10">
        <v>105</v>
      </c>
      <c r="K52" s="11"/>
      <c r="L52" s="19"/>
      <c r="M52" s="13">
        <f t="shared" si="6"/>
        <v>1165.8000000000002</v>
      </c>
      <c r="N52" s="14">
        <f t="shared" si="0"/>
        <v>4520</v>
      </c>
      <c r="O52" s="5" t="s">
        <v>47</v>
      </c>
      <c r="P52" s="33">
        <f t="shared" si="1"/>
        <v>116.58000000000003</v>
      </c>
      <c r="Q52" s="33">
        <f t="shared" si="2"/>
        <v>125.90640000000003</v>
      </c>
    </row>
    <row r="53" spans="1:18" x14ac:dyDescent="0.25">
      <c r="A53" s="5">
        <v>288</v>
      </c>
      <c r="B53" s="6" t="s">
        <v>73</v>
      </c>
      <c r="C53" s="7">
        <v>3500</v>
      </c>
      <c r="D53" s="7">
        <v>419.88</v>
      </c>
      <c r="E53" s="8">
        <f t="shared" si="3"/>
        <v>2519.2799999999997</v>
      </c>
      <c r="F53" s="8">
        <f t="shared" si="7"/>
        <v>419.88</v>
      </c>
      <c r="G53" s="9">
        <f t="shared" si="4"/>
        <v>2939.16</v>
      </c>
      <c r="H53" s="37">
        <v>3354.2</v>
      </c>
      <c r="I53" s="10">
        <v>0</v>
      </c>
      <c r="J53" s="10">
        <v>0</v>
      </c>
      <c r="K53" s="11"/>
      <c r="L53" s="19"/>
      <c r="M53" s="13">
        <f t="shared" si="6"/>
        <v>145.80000000000018</v>
      </c>
      <c r="N53" s="14">
        <f t="shared" si="0"/>
        <v>3500</v>
      </c>
      <c r="O53" s="5" t="s">
        <v>47</v>
      </c>
      <c r="P53" s="33">
        <f t="shared" si="1"/>
        <v>14.58000000000002</v>
      </c>
      <c r="Q53" s="33">
        <f t="shared" si="2"/>
        <v>15.746400000000023</v>
      </c>
    </row>
    <row r="54" spans="1:18" x14ac:dyDescent="0.25">
      <c r="A54" s="5">
        <v>289</v>
      </c>
      <c r="B54" s="6" t="s">
        <v>74</v>
      </c>
      <c r="C54" s="7">
        <v>3500</v>
      </c>
      <c r="D54" s="7">
        <v>419.88</v>
      </c>
      <c r="E54" s="8">
        <f t="shared" si="3"/>
        <v>2519.2799999999997</v>
      </c>
      <c r="F54" s="8">
        <f t="shared" si="7"/>
        <v>419.88</v>
      </c>
      <c r="G54" s="9">
        <f t="shared" si="4"/>
        <v>2939.16</v>
      </c>
      <c r="H54" s="37">
        <v>3354.2</v>
      </c>
      <c r="I54" s="10">
        <v>0</v>
      </c>
      <c r="J54" s="10">
        <v>0</v>
      </c>
      <c r="K54" s="11"/>
      <c r="L54" s="19"/>
      <c r="M54" s="13">
        <f t="shared" si="6"/>
        <v>145.80000000000018</v>
      </c>
      <c r="N54" s="14">
        <f t="shared" si="0"/>
        <v>3500</v>
      </c>
      <c r="O54" s="5" t="s">
        <v>47</v>
      </c>
      <c r="P54" s="33">
        <f t="shared" si="1"/>
        <v>14.58000000000002</v>
      </c>
      <c r="Q54" s="33">
        <f t="shared" si="2"/>
        <v>15.746400000000023</v>
      </c>
    </row>
    <row r="55" spans="1:18" x14ac:dyDescent="0.25">
      <c r="A55" s="5">
        <v>290</v>
      </c>
      <c r="B55" s="6" t="s">
        <v>75</v>
      </c>
      <c r="C55" s="7">
        <v>6250</v>
      </c>
      <c r="D55" s="7">
        <v>419.88</v>
      </c>
      <c r="E55" s="8">
        <f t="shared" si="3"/>
        <v>2519.2799999999997</v>
      </c>
      <c r="F55" s="8">
        <f t="shared" si="7"/>
        <v>419.88</v>
      </c>
      <c r="G55" s="9">
        <f t="shared" si="4"/>
        <v>2939.16</v>
      </c>
      <c r="H55" s="37">
        <v>3354.4</v>
      </c>
      <c r="I55" s="10">
        <v>0</v>
      </c>
      <c r="J55" s="10">
        <v>0</v>
      </c>
      <c r="K55" s="11"/>
      <c r="L55" s="19"/>
      <c r="M55" s="13">
        <f t="shared" si="6"/>
        <v>2895.6</v>
      </c>
      <c r="N55" s="14">
        <f t="shared" si="0"/>
        <v>6250</v>
      </c>
      <c r="O55" s="5" t="s">
        <v>47</v>
      </c>
      <c r="P55" s="33">
        <f t="shared" si="1"/>
        <v>289.56</v>
      </c>
      <c r="Q55" s="33">
        <f t="shared" si="2"/>
        <v>312.72480000000002</v>
      </c>
    </row>
    <row r="56" spans="1:18" x14ac:dyDescent="0.25">
      <c r="A56" s="5">
        <v>291</v>
      </c>
      <c r="B56" s="6" t="s">
        <v>78</v>
      </c>
      <c r="C56" s="7">
        <v>4250</v>
      </c>
      <c r="D56" s="7">
        <v>419.88</v>
      </c>
      <c r="E56" s="8">
        <f t="shared" si="3"/>
        <v>2519.2799999999997</v>
      </c>
      <c r="F56" s="8">
        <f t="shared" si="7"/>
        <v>419.88</v>
      </c>
      <c r="G56" s="9">
        <f t="shared" si="4"/>
        <v>2939.16</v>
      </c>
      <c r="H56" s="37">
        <v>3354.4</v>
      </c>
      <c r="I56" s="10">
        <v>75</v>
      </c>
      <c r="J56" s="10">
        <v>70</v>
      </c>
      <c r="K56" s="11"/>
      <c r="L56" s="19"/>
      <c r="M56" s="13">
        <f t="shared" si="6"/>
        <v>750.59999999999991</v>
      </c>
      <c r="N56" s="14">
        <f t="shared" si="0"/>
        <v>4105</v>
      </c>
      <c r="O56" s="5" t="s">
        <v>47</v>
      </c>
      <c r="P56" s="33">
        <f t="shared" si="1"/>
        <v>75.059999999999988</v>
      </c>
      <c r="Q56" s="33">
        <f t="shared" si="2"/>
        <v>81.064799999999991</v>
      </c>
    </row>
    <row r="57" spans="1:18" ht="16.149999999999999" customHeight="1" thickBot="1" x14ac:dyDescent="0.3"/>
    <row r="58" spans="1:18" ht="18" thickBot="1" x14ac:dyDescent="0.35">
      <c r="A58" s="23"/>
      <c r="B58" s="24"/>
      <c r="C58" s="25">
        <f t="shared" ref="C58:N58" si="8">SUM(C4:C57)</f>
        <v>265375</v>
      </c>
      <c r="D58" s="25">
        <f t="shared" si="8"/>
        <v>22253.64</v>
      </c>
      <c r="E58" s="25">
        <f t="shared" si="8"/>
        <v>133521.83999999997</v>
      </c>
      <c r="F58" s="25">
        <f t="shared" si="8"/>
        <v>22253.64</v>
      </c>
      <c r="G58" s="25">
        <f t="shared" si="8"/>
        <v>155775.48000000013</v>
      </c>
      <c r="H58" s="25">
        <f>SUM(H4:H57)</f>
        <v>171178.19999999995</v>
      </c>
      <c r="I58" s="26">
        <f t="shared" si="8"/>
        <v>8775</v>
      </c>
      <c r="J58" s="26">
        <f t="shared" si="8"/>
        <v>1785</v>
      </c>
      <c r="K58" s="26">
        <f t="shared" si="8"/>
        <v>7720.3</v>
      </c>
      <c r="L58" s="27">
        <f t="shared" si="8"/>
        <v>1125</v>
      </c>
      <c r="M58" s="25">
        <f>SUM(M4:M57)</f>
        <v>77041.860000000044</v>
      </c>
      <c r="N58" s="25">
        <f t="shared" si="8"/>
        <v>248220.06</v>
      </c>
      <c r="P58" s="25">
        <f>SUM(P4:P57)</f>
        <v>7704.1860000000024</v>
      </c>
      <c r="Q58" s="25">
        <f>SUM(Q4:Q57)</f>
        <v>8320.5208800000019</v>
      </c>
      <c r="R58" s="55">
        <f>+N58+Q58</f>
        <v>256540.58087999999</v>
      </c>
    </row>
    <row r="59" spans="1:18" x14ac:dyDescent="0.25">
      <c r="H59" s="15"/>
      <c r="M59" s="15"/>
    </row>
    <row r="60" spans="1:18" x14ac:dyDescent="0.25">
      <c r="H60" s="15"/>
      <c r="I60">
        <f>+I58/75</f>
        <v>117</v>
      </c>
      <c r="J60" s="28">
        <f>SUM(J58)/35</f>
        <v>51</v>
      </c>
      <c r="R60" s="55">
        <v>12886.8</v>
      </c>
    </row>
    <row r="61" spans="1:18" x14ac:dyDescent="0.25">
      <c r="F61" s="15"/>
      <c r="H61" s="15">
        <f>H58+M58</f>
        <v>248220.06</v>
      </c>
      <c r="K61" s="15"/>
    </row>
    <row r="62" spans="1:18" x14ac:dyDescent="0.25">
      <c r="H62" s="15">
        <f>'[1]Nom 9'!$H$53</f>
        <v>131178.05999999994</v>
      </c>
      <c r="I62" s="40"/>
      <c r="J62" s="15"/>
    </row>
    <row r="63" spans="1:18" x14ac:dyDescent="0.25">
      <c r="H63" s="15">
        <f>[2]Rino!$H$8</f>
        <v>75398.810000000012</v>
      </c>
    </row>
    <row r="64" spans="1:18" x14ac:dyDescent="0.25">
      <c r="H64" s="15">
        <f>H62+H63</f>
        <v>206576.86999999994</v>
      </c>
    </row>
  </sheetData>
  <autoFilter ref="A3:Q56" xr:uid="{00000000-0009-0000-0000-000006000000}"/>
  <mergeCells count="2">
    <mergeCell ref="A1:N1"/>
    <mergeCell ref="A2:N2"/>
  </mergeCells>
  <pageMargins left="0.25" right="0.25" top="0.75" bottom="0.75" header="0.3" footer="0.3"/>
  <pageSetup scale="51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>
    <pageSetUpPr fitToPage="1"/>
  </sheetPr>
  <dimension ref="A1:R65"/>
  <sheetViews>
    <sheetView showGridLines="0" zoomScaleNormal="100" workbookViewId="0">
      <selection activeCell="L15" sqref="L15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83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x14ac:dyDescent="0.25">
      <c r="A4" s="70">
        <v>4</v>
      </c>
      <c r="B4" s="71" t="s">
        <v>13</v>
      </c>
      <c r="C4" s="72">
        <v>7500</v>
      </c>
      <c r="D4" s="72">
        <v>419.88</v>
      </c>
      <c r="E4" s="73">
        <f>D4*6</f>
        <v>2519.2799999999997</v>
      </c>
      <c r="F4" s="73">
        <f>$D$4</f>
        <v>419.88</v>
      </c>
      <c r="G4" s="74">
        <f>E4+F4</f>
        <v>2939.16</v>
      </c>
      <c r="H4" s="75">
        <v>135835.79999999999</v>
      </c>
      <c r="I4" s="76">
        <v>0</v>
      </c>
      <c r="J4" s="76">
        <v>70</v>
      </c>
      <c r="K4" s="77">
        <v>400.21</v>
      </c>
      <c r="L4" s="78"/>
      <c r="M4" s="79"/>
      <c r="N4" s="80">
        <f t="shared" ref="N4:N57" si="0">H4+M4</f>
        <v>135835.79999999999</v>
      </c>
      <c r="O4" s="81" t="s">
        <v>48</v>
      </c>
      <c r="P4" s="82">
        <f t="shared" ref="P4:P57" si="1">+M4*0.1</f>
        <v>0</v>
      </c>
      <c r="Q4" s="82">
        <f t="shared" ref="Q4:Q57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7" si="3">D5*6</f>
        <v>2519.2799999999997</v>
      </c>
      <c r="F5" s="8">
        <f>$D$4</f>
        <v>419.88</v>
      </c>
      <c r="G5" s="9">
        <f t="shared" ref="G5:G57" si="4">E5+F5</f>
        <v>2939.16</v>
      </c>
      <c r="H5" s="37">
        <v>3354.2</v>
      </c>
      <c r="I5" s="10">
        <v>225</v>
      </c>
      <c r="J5" s="10">
        <v>0</v>
      </c>
      <c r="K5" s="11"/>
      <c r="L5" s="12"/>
      <c r="M5" s="13">
        <f>C5-H5-I5+L5-K5-J5</f>
        <v>420.80000000000018</v>
      </c>
      <c r="N5" s="14">
        <f t="shared" si="0"/>
        <v>3775</v>
      </c>
      <c r="O5" s="29" t="s">
        <v>47</v>
      </c>
      <c r="P5" s="33">
        <f t="shared" si="1"/>
        <v>42.08000000000002</v>
      </c>
      <c r="Q5" s="33">
        <f t="shared" si="2"/>
        <v>45.446400000000025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ref="F6:F37" si="5">$D$4</f>
        <v>419.88</v>
      </c>
      <c r="G6" s="9">
        <f t="shared" si="4"/>
        <v>2939.16</v>
      </c>
      <c r="H6" s="38">
        <v>3354.2</v>
      </c>
      <c r="I6" s="18">
        <v>75</v>
      </c>
      <c r="J6" s="18">
        <v>105</v>
      </c>
      <c r="K6" s="11"/>
      <c r="L6" s="12"/>
      <c r="M6" s="13">
        <f t="shared" ref="M6:M57" si="6">C6-H6-I6+L6-K6-J6</f>
        <v>11465.8</v>
      </c>
      <c r="N6" s="14">
        <f t="shared" si="0"/>
        <v>14820</v>
      </c>
      <c r="O6" s="30" t="s">
        <v>47</v>
      </c>
      <c r="P6" s="33">
        <f t="shared" si="1"/>
        <v>1146.58</v>
      </c>
      <c r="Q6" s="33">
        <f t="shared" si="2"/>
        <v>1238.3063999999999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5"/>
        <v>419.88</v>
      </c>
      <c r="G7" s="9">
        <f t="shared" si="4"/>
        <v>2939.16</v>
      </c>
      <c r="H7" s="38">
        <v>3354.2</v>
      </c>
      <c r="I7" s="10">
        <v>75</v>
      </c>
      <c r="J7" s="10">
        <v>35</v>
      </c>
      <c r="K7" s="21"/>
      <c r="L7" s="12"/>
      <c r="M7" s="13">
        <f t="shared" si="6"/>
        <v>535.80000000000018</v>
      </c>
      <c r="N7" s="14">
        <f t="shared" si="0"/>
        <v>3890</v>
      </c>
      <c r="O7" s="36" t="s">
        <v>47</v>
      </c>
      <c r="P7" s="33">
        <f t="shared" si="1"/>
        <v>53.58000000000002</v>
      </c>
      <c r="Q7" s="33">
        <f t="shared" si="2"/>
        <v>57.866400000000027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5"/>
        <v>419.88</v>
      </c>
      <c r="G8" s="9">
        <f t="shared" si="4"/>
        <v>2939.16</v>
      </c>
      <c r="H8" s="37">
        <v>3354.4</v>
      </c>
      <c r="I8" s="10">
        <v>225</v>
      </c>
      <c r="J8" s="10">
        <v>0</v>
      </c>
      <c r="K8" s="11"/>
      <c r="L8" s="12"/>
      <c r="M8" s="13">
        <f t="shared" si="6"/>
        <v>920.59999999999991</v>
      </c>
      <c r="N8" s="14">
        <f t="shared" si="0"/>
        <v>4275</v>
      </c>
      <c r="O8" s="30" t="s">
        <v>47</v>
      </c>
      <c r="P8" s="33">
        <f t="shared" si="1"/>
        <v>92.06</v>
      </c>
      <c r="Q8" s="33">
        <f t="shared" si="2"/>
        <v>99.424800000000005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5"/>
        <v>419.88</v>
      </c>
      <c r="G9" s="9">
        <f t="shared" si="4"/>
        <v>2939.16</v>
      </c>
      <c r="H9" s="37">
        <v>3096.6</v>
      </c>
      <c r="I9" s="10">
        <v>150</v>
      </c>
      <c r="J9" s="10">
        <v>70</v>
      </c>
      <c r="K9" s="16">
        <v>257.74</v>
      </c>
      <c r="L9" s="19"/>
      <c r="M9" s="13">
        <f>C9-H9-I9+L9-K9-J9</f>
        <v>425.66000000000008</v>
      </c>
      <c r="N9" s="14">
        <f t="shared" si="0"/>
        <v>3522.26</v>
      </c>
      <c r="O9" s="30" t="s">
        <v>47</v>
      </c>
      <c r="P9" s="33">
        <f t="shared" si="1"/>
        <v>42.56600000000001</v>
      </c>
      <c r="Q9" s="33">
        <f t="shared" si="2"/>
        <v>45.971280000000014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5"/>
        <v>419.88</v>
      </c>
      <c r="G10" s="9">
        <f t="shared" si="4"/>
        <v>2939.16</v>
      </c>
      <c r="H10" s="37">
        <v>3354.2</v>
      </c>
      <c r="I10" s="10">
        <v>0</v>
      </c>
      <c r="J10" s="10">
        <v>0</v>
      </c>
      <c r="K10" s="20"/>
      <c r="L10" s="19"/>
      <c r="M10" s="13">
        <f t="shared" si="6"/>
        <v>645.80000000000018</v>
      </c>
      <c r="N10" s="14">
        <f t="shared" si="0"/>
        <v>4000</v>
      </c>
      <c r="O10" s="30" t="s">
        <v>49</v>
      </c>
      <c r="P10" s="33">
        <f t="shared" si="1"/>
        <v>64.580000000000027</v>
      </c>
      <c r="Q10" s="33">
        <f t="shared" si="2"/>
        <v>69.746400000000037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5"/>
        <v>419.88</v>
      </c>
      <c r="G11" s="9">
        <f t="shared" si="4"/>
        <v>2939.16</v>
      </c>
      <c r="H11" s="37">
        <v>3354.2</v>
      </c>
      <c r="I11" s="10">
        <v>75</v>
      </c>
      <c r="J11" s="10">
        <v>0</v>
      </c>
      <c r="K11" s="11"/>
      <c r="L11" s="12"/>
      <c r="M11" s="13">
        <f>C11-H11-I11+L11-K11-J11</f>
        <v>3570.8</v>
      </c>
      <c r="N11" s="14">
        <f t="shared" si="0"/>
        <v>6925</v>
      </c>
      <c r="O11" s="30" t="s">
        <v>47</v>
      </c>
      <c r="P11" s="33">
        <f t="shared" si="1"/>
        <v>357.08000000000004</v>
      </c>
      <c r="Q11" s="33">
        <f t="shared" si="2"/>
        <v>385.64640000000009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5"/>
        <v>419.88</v>
      </c>
      <c r="G12" s="9">
        <f t="shared" si="4"/>
        <v>2939.16</v>
      </c>
      <c r="H12" s="37">
        <v>3354.2</v>
      </c>
      <c r="I12" s="10">
        <v>75</v>
      </c>
      <c r="J12" s="10">
        <v>0</v>
      </c>
      <c r="K12" s="21"/>
      <c r="L12" s="12"/>
      <c r="M12" s="13">
        <f>C12-H12-I12+L12-K12-J12</f>
        <v>1570.8000000000002</v>
      </c>
      <c r="N12" s="14">
        <f t="shared" si="0"/>
        <v>4925</v>
      </c>
      <c r="O12" s="30" t="s">
        <v>47</v>
      </c>
      <c r="P12" s="33">
        <f t="shared" si="1"/>
        <v>157.08000000000004</v>
      </c>
      <c r="Q12" s="33">
        <f t="shared" si="2"/>
        <v>169.64640000000006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5"/>
        <v>419.88</v>
      </c>
      <c r="G13" s="9">
        <f t="shared" si="4"/>
        <v>2939.16</v>
      </c>
      <c r="H13" s="37">
        <v>3170</v>
      </c>
      <c r="I13" s="10">
        <v>225</v>
      </c>
      <c r="J13" s="10">
        <v>105</v>
      </c>
      <c r="K13" s="21"/>
      <c r="L13" s="12"/>
      <c r="M13" s="13">
        <f>C13-H13-I13+L13-K13-J13</f>
        <v>0</v>
      </c>
      <c r="N13" s="14">
        <f t="shared" si="0"/>
        <v>3170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3500</v>
      </c>
      <c r="D14" s="7">
        <v>419.88</v>
      </c>
      <c r="E14" s="8">
        <f t="shared" si="3"/>
        <v>2519.2799999999997</v>
      </c>
      <c r="F14" s="8">
        <f t="shared" si="5"/>
        <v>419.88</v>
      </c>
      <c r="G14" s="9">
        <f t="shared" si="4"/>
        <v>2939.16</v>
      </c>
      <c r="H14" s="38">
        <v>2687.2</v>
      </c>
      <c r="I14" s="10">
        <v>225</v>
      </c>
      <c r="J14" s="10">
        <v>0</v>
      </c>
      <c r="K14" s="21">
        <v>587.84</v>
      </c>
      <c r="L14" s="12"/>
      <c r="M14" s="69">
        <f>C14-H14-I14+L14-K14-J14+0.04</f>
        <v>1.5006745845980163E-13</v>
      </c>
      <c r="N14" s="14">
        <f t="shared" si="0"/>
        <v>2687.2</v>
      </c>
      <c r="O14" s="36" t="s">
        <v>47</v>
      </c>
      <c r="P14" s="33">
        <f t="shared" si="1"/>
        <v>1.5006745845980165E-14</v>
      </c>
      <c r="Q14" s="33">
        <f t="shared" si="2"/>
        <v>1.6207285513658578E-14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5"/>
        <v>419.88</v>
      </c>
      <c r="G15" s="9">
        <f t="shared" si="4"/>
        <v>2939.16</v>
      </c>
      <c r="H15" s="37">
        <v>4930.6000000000004</v>
      </c>
      <c r="I15" s="10">
        <v>0</v>
      </c>
      <c r="J15" s="10">
        <v>0</v>
      </c>
      <c r="K15" s="22"/>
      <c r="L15" s="12">
        <v>2571.42</v>
      </c>
      <c r="M15" s="13">
        <f t="shared" si="6"/>
        <v>1640.8199999999997</v>
      </c>
      <c r="N15" s="14">
        <f t="shared" si="0"/>
        <v>6571.42</v>
      </c>
      <c r="O15" s="30" t="s">
        <v>47</v>
      </c>
      <c r="P15" s="33">
        <f t="shared" si="1"/>
        <v>164.08199999999999</v>
      </c>
      <c r="Q15" s="33">
        <f t="shared" si="2"/>
        <v>177.20856000000001</v>
      </c>
    </row>
    <row r="16" spans="1:17" x14ac:dyDescent="0.25">
      <c r="A16" s="5">
        <v>151</v>
      </c>
      <c r="B16" s="6" t="s">
        <v>25</v>
      </c>
      <c r="C16" s="7">
        <v>3500</v>
      </c>
      <c r="D16" s="7">
        <v>419.88</v>
      </c>
      <c r="E16" s="8">
        <f t="shared" si="3"/>
        <v>2519.2799999999997</v>
      </c>
      <c r="F16" s="8">
        <f t="shared" si="5"/>
        <v>419.88</v>
      </c>
      <c r="G16" s="9">
        <f t="shared" si="4"/>
        <v>2939.16</v>
      </c>
      <c r="H16" s="37">
        <v>3120.4</v>
      </c>
      <c r="I16" s="10">
        <v>75</v>
      </c>
      <c r="J16" s="10">
        <v>0</v>
      </c>
      <c r="K16" s="21">
        <v>293.92</v>
      </c>
      <c r="L16" s="12"/>
      <c r="M16" s="69">
        <f>C16-H16-I16+L16-K16-J16</f>
        <v>10.679999999999893</v>
      </c>
      <c r="N16" s="14">
        <f t="shared" si="0"/>
        <v>3131.08</v>
      </c>
      <c r="O16" s="29" t="s">
        <v>47</v>
      </c>
      <c r="P16" s="33">
        <f t="shared" si="1"/>
        <v>1.0679999999999894</v>
      </c>
      <c r="Q16" s="33">
        <f t="shared" si="2"/>
        <v>1.1534399999999887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5"/>
        <v>419.88</v>
      </c>
      <c r="G17" s="9">
        <f t="shared" si="4"/>
        <v>2939.16</v>
      </c>
      <c r="H17" s="37">
        <v>3190.8</v>
      </c>
      <c r="I17" s="10">
        <v>0</v>
      </c>
      <c r="J17" s="10">
        <v>0</v>
      </c>
      <c r="K17" s="21">
        <v>251.93</v>
      </c>
      <c r="L17" s="19">
        <v>142.86000000000001</v>
      </c>
      <c r="M17" s="13">
        <f t="shared" si="6"/>
        <v>700.12999999999988</v>
      </c>
      <c r="N17" s="14">
        <f t="shared" si="0"/>
        <v>3890.9300000000003</v>
      </c>
      <c r="O17" s="29" t="s">
        <v>47</v>
      </c>
      <c r="P17" s="33">
        <f t="shared" si="1"/>
        <v>70.012999999999991</v>
      </c>
      <c r="Q17" s="33">
        <f t="shared" si="2"/>
        <v>75.614039999999989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5"/>
        <v>419.88</v>
      </c>
      <c r="G18" s="9">
        <f t="shared" si="4"/>
        <v>2939.16</v>
      </c>
      <c r="H18" s="37">
        <v>2879.2</v>
      </c>
      <c r="I18" s="10">
        <v>300</v>
      </c>
      <c r="J18" s="10">
        <v>0</v>
      </c>
      <c r="K18" s="21">
        <v>587.84</v>
      </c>
      <c r="L18" s="12"/>
      <c r="M18" s="13">
        <f t="shared" si="6"/>
        <v>232.96000000000015</v>
      </c>
      <c r="N18" s="14">
        <f t="shared" si="0"/>
        <v>3112.16</v>
      </c>
      <c r="O18" s="29" t="s">
        <v>47</v>
      </c>
      <c r="P18" s="33">
        <f t="shared" si="1"/>
        <v>23.296000000000017</v>
      </c>
      <c r="Q18" s="33">
        <f t="shared" si="2"/>
        <v>25.159680000000019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5"/>
        <v>419.88</v>
      </c>
      <c r="G19" s="9">
        <f t="shared" si="4"/>
        <v>2939.16</v>
      </c>
      <c r="H19" s="37">
        <v>2330.1999999999998</v>
      </c>
      <c r="I19" s="10">
        <v>0</v>
      </c>
      <c r="J19" s="10">
        <v>0</v>
      </c>
      <c r="K19" s="16">
        <v>938.81</v>
      </c>
      <c r="L19" s="19"/>
      <c r="M19" s="13">
        <f t="shared" si="6"/>
        <v>6730.99</v>
      </c>
      <c r="N19" s="14">
        <f t="shared" si="0"/>
        <v>9061.1899999999987</v>
      </c>
      <c r="O19" s="29" t="s">
        <v>50</v>
      </c>
      <c r="P19" s="33">
        <f t="shared" si="1"/>
        <v>673.09900000000005</v>
      </c>
      <c r="Q19" s="33">
        <f t="shared" si="2"/>
        <v>726.94692000000009</v>
      </c>
    </row>
    <row r="20" spans="1:17" x14ac:dyDescent="0.25">
      <c r="A20" s="5">
        <v>184</v>
      </c>
      <c r="B20" s="6" t="s">
        <v>29</v>
      </c>
      <c r="C20" s="7">
        <v>7000</v>
      </c>
      <c r="D20" s="7">
        <v>419.88</v>
      </c>
      <c r="E20" s="8">
        <f t="shared" si="3"/>
        <v>2519.2799999999997</v>
      </c>
      <c r="F20" s="8">
        <f t="shared" si="5"/>
        <v>419.88</v>
      </c>
      <c r="G20" s="9">
        <f t="shared" si="4"/>
        <v>2939.16</v>
      </c>
      <c r="H20" s="37">
        <v>3354.4</v>
      </c>
      <c r="I20" s="10">
        <v>225</v>
      </c>
      <c r="J20" s="10">
        <v>70</v>
      </c>
      <c r="K20" s="21"/>
      <c r="L20" s="19"/>
      <c r="M20" s="13">
        <f t="shared" si="6"/>
        <v>3350.6</v>
      </c>
      <c r="N20" s="14">
        <f t="shared" si="0"/>
        <v>6705</v>
      </c>
      <c r="O20" s="29" t="s">
        <v>47</v>
      </c>
      <c r="P20" s="33">
        <f t="shared" si="1"/>
        <v>335.06</v>
      </c>
      <c r="Q20" s="33">
        <f t="shared" si="2"/>
        <v>361.8648</v>
      </c>
    </row>
    <row r="21" spans="1:17" s="55" customFormat="1" x14ac:dyDescent="0.25">
      <c r="A21" s="5">
        <v>199</v>
      </c>
      <c r="B21" s="6" t="s">
        <v>31</v>
      </c>
      <c r="C21" s="7">
        <v>4000</v>
      </c>
      <c r="D21" s="7">
        <v>419.88</v>
      </c>
      <c r="E21" s="8">
        <f t="shared" si="3"/>
        <v>2519.2799999999997</v>
      </c>
      <c r="F21" s="8">
        <f t="shared" si="5"/>
        <v>419.88</v>
      </c>
      <c r="G21" s="9">
        <f t="shared" si="4"/>
        <v>2939.16</v>
      </c>
      <c r="H21" s="37">
        <v>3354.4</v>
      </c>
      <c r="I21" s="10">
        <v>0</v>
      </c>
      <c r="J21" s="10">
        <v>0</v>
      </c>
      <c r="K21" s="16">
        <v>500</v>
      </c>
      <c r="L21" s="19"/>
      <c r="M21" s="13">
        <f t="shared" si="6"/>
        <v>145.59999999999991</v>
      </c>
      <c r="N21" s="14">
        <f t="shared" si="0"/>
        <v>3500</v>
      </c>
      <c r="O21" s="29" t="s">
        <v>47</v>
      </c>
      <c r="P21" s="33">
        <f t="shared" si="1"/>
        <v>14.559999999999992</v>
      </c>
      <c r="Q21" s="33">
        <f t="shared" si="2"/>
        <v>15.724799999999991</v>
      </c>
    </row>
    <row r="22" spans="1:17" s="55" customFormat="1" ht="13.5" customHeight="1" x14ac:dyDescent="0.25">
      <c r="A22" s="5">
        <v>204</v>
      </c>
      <c r="B22" s="6" t="s">
        <v>33</v>
      </c>
      <c r="C22" s="7">
        <v>4000</v>
      </c>
      <c r="D22" s="7">
        <v>419.88</v>
      </c>
      <c r="E22" s="8">
        <f t="shared" si="3"/>
        <v>2519.2799999999997</v>
      </c>
      <c r="F22" s="8">
        <f t="shared" si="5"/>
        <v>419.88</v>
      </c>
      <c r="G22" s="9">
        <f t="shared" si="4"/>
        <v>2939.16</v>
      </c>
      <c r="H22" s="37">
        <v>3354.4</v>
      </c>
      <c r="I22" s="10">
        <v>75</v>
      </c>
      <c r="J22" s="10">
        <v>70</v>
      </c>
      <c r="K22" s="11"/>
      <c r="L22" s="19"/>
      <c r="M22" s="13">
        <f t="shared" si="6"/>
        <v>500.59999999999991</v>
      </c>
      <c r="N22" s="14">
        <f t="shared" si="0"/>
        <v>3855</v>
      </c>
      <c r="O22" s="29" t="s">
        <v>47</v>
      </c>
      <c r="P22" s="33">
        <f t="shared" si="1"/>
        <v>50.059999999999995</v>
      </c>
      <c r="Q22" s="33">
        <f t="shared" si="2"/>
        <v>54.064799999999998</v>
      </c>
    </row>
    <row r="23" spans="1:17" s="55" customFormat="1" x14ac:dyDescent="0.25">
      <c r="A23" s="5">
        <v>213</v>
      </c>
      <c r="B23" s="6" t="s">
        <v>34</v>
      </c>
      <c r="C23" s="7">
        <v>4000</v>
      </c>
      <c r="D23" s="7">
        <v>419.88</v>
      </c>
      <c r="E23" s="8">
        <f t="shared" si="3"/>
        <v>2519.2799999999997</v>
      </c>
      <c r="F23" s="8">
        <f t="shared" si="5"/>
        <v>419.88</v>
      </c>
      <c r="G23" s="9">
        <f t="shared" si="4"/>
        <v>2939.16</v>
      </c>
      <c r="H23" s="37">
        <v>3354.2</v>
      </c>
      <c r="I23" s="10">
        <v>0</v>
      </c>
      <c r="J23" s="10">
        <v>0</v>
      </c>
      <c r="K23" s="11"/>
      <c r="L23" s="19"/>
      <c r="M23" s="13">
        <f t="shared" si="6"/>
        <v>645.80000000000018</v>
      </c>
      <c r="N23" s="14">
        <f t="shared" si="0"/>
        <v>4000</v>
      </c>
      <c r="O23" s="29" t="s">
        <v>50</v>
      </c>
      <c r="P23" s="33">
        <f t="shared" si="1"/>
        <v>64.580000000000027</v>
      </c>
      <c r="Q23" s="33">
        <f t="shared" si="2"/>
        <v>69.746400000000037</v>
      </c>
    </row>
    <row r="24" spans="1:17" s="55" customFormat="1" x14ac:dyDescent="0.25">
      <c r="A24" s="5">
        <v>215</v>
      </c>
      <c r="B24" s="6" t="s">
        <v>35</v>
      </c>
      <c r="C24" s="7">
        <v>5000</v>
      </c>
      <c r="D24" s="7">
        <v>419.88</v>
      </c>
      <c r="E24" s="8">
        <f t="shared" si="3"/>
        <v>2519.2799999999997</v>
      </c>
      <c r="F24" s="8">
        <f t="shared" si="5"/>
        <v>419.88</v>
      </c>
      <c r="G24" s="9">
        <f t="shared" si="4"/>
        <v>2939.16</v>
      </c>
      <c r="H24" s="37">
        <v>3393.2</v>
      </c>
      <c r="I24" s="10">
        <v>150</v>
      </c>
      <c r="J24" s="10">
        <v>0</v>
      </c>
      <c r="K24" s="21"/>
      <c r="L24" s="19">
        <v>178.57</v>
      </c>
      <c r="M24" s="13">
        <f t="shared" si="6"/>
        <v>1635.3700000000001</v>
      </c>
      <c r="N24" s="14">
        <f t="shared" si="0"/>
        <v>5028.57</v>
      </c>
      <c r="O24" s="29" t="s">
        <v>47</v>
      </c>
      <c r="P24" s="33">
        <f t="shared" si="1"/>
        <v>163.53700000000003</v>
      </c>
      <c r="Q24" s="33">
        <f t="shared" si="2"/>
        <v>176.61996000000005</v>
      </c>
    </row>
    <row r="25" spans="1:17" s="55" customFormat="1" x14ac:dyDescent="0.25">
      <c r="A25" s="5">
        <v>218</v>
      </c>
      <c r="B25" s="6" t="s">
        <v>36</v>
      </c>
      <c r="C25" s="7">
        <v>3500</v>
      </c>
      <c r="D25" s="7">
        <v>419.88</v>
      </c>
      <c r="E25" s="8">
        <f t="shared" si="3"/>
        <v>2519.2799999999997</v>
      </c>
      <c r="F25" s="8">
        <f t="shared" si="5"/>
        <v>419.88</v>
      </c>
      <c r="G25" s="9">
        <f t="shared" si="4"/>
        <v>2939.16</v>
      </c>
      <c r="H25" s="37">
        <v>3354.2</v>
      </c>
      <c r="I25" s="10">
        <v>0</v>
      </c>
      <c r="J25" s="10">
        <v>0</v>
      </c>
      <c r="K25" s="21"/>
      <c r="L25" s="12"/>
      <c r="M25" s="13">
        <f t="shared" si="6"/>
        <v>145.80000000000018</v>
      </c>
      <c r="N25" s="14">
        <f t="shared" si="0"/>
        <v>3500</v>
      </c>
      <c r="O25" s="29" t="s">
        <v>49</v>
      </c>
      <c r="P25" s="33">
        <f t="shared" si="1"/>
        <v>14.58000000000002</v>
      </c>
      <c r="Q25" s="33">
        <f t="shared" si="2"/>
        <v>15.746400000000023</v>
      </c>
    </row>
    <row r="26" spans="1:17" s="55" customFormat="1" x14ac:dyDescent="0.25">
      <c r="A26" s="36">
        <v>220</v>
      </c>
      <c r="B26" s="6" t="s">
        <v>37</v>
      </c>
      <c r="C26" s="7">
        <v>4000</v>
      </c>
      <c r="D26" s="7">
        <v>419.88</v>
      </c>
      <c r="E26" s="8">
        <f t="shared" si="3"/>
        <v>2519.2799999999997</v>
      </c>
      <c r="F26" s="8">
        <f t="shared" si="5"/>
        <v>419.88</v>
      </c>
      <c r="G26" s="9">
        <f t="shared" si="4"/>
        <v>2939.16</v>
      </c>
      <c r="H26" s="38">
        <v>3120.4</v>
      </c>
      <c r="I26" s="10">
        <v>300</v>
      </c>
      <c r="J26" s="10">
        <v>140</v>
      </c>
      <c r="K26" s="21">
        <v>293.92</v>
      </c>
      <c r="L26" s="12"/>
      <c r="M26" s="13">
        <f t="shared" si="6"/>
        <v>145.67999999999989</v>
      </c>
      <c r="N26" s="14">
        <f t="shared" si="0"/>
        <v>3266.08</v>
      </c>
      <c r="O26" s="36" t="s">
        <v>47</v>
      </c>
      <c r="P26" s="33">
        <f t="shared" si="1"/>
        <v>14.567999999999991</v>
      </c>
      <c r="Q26" s="33">
        <f t="shared" si="2"/>
        <v>15.733439999999991</v>
      </c>
    </row>
    <row r="27" spans="1:17" s="55" customFormat="1" x14ac:dyDescent="0.25">
      <c r="A27" s="5">
        <v>221</v>
      </c>
      <c r="B27" s="6" t="s">
        <v>38</v>
      </c>
      <c r="C27" s="7">
        <v>4000</v>
      </c>
      <c r="D27" s="7">
        <v>419.88</v>
      </c>
      <c r="E27" s="8">
        <f t="shared" si="3"/>
        <v>2519.2799999999997</v>
      </c>
      <c r="F27" s="8">
        <f t="shared" si="5"/>
        <v>419.88</v>
      </c>
      <c r="G27" s="9">
        <f t="shared" si="4"/>
        <v>2939.16</v>
      </c>
      <c r="H27" s="37">
        <v>3354.4</v>
      </c>
      <c r="I27" s="10">
        <v>300</v>
      </c>
      <c r="J27" s="10">
        <v>140</v>
      </c>
      <c r="K27" s="21"/>
      <c r="L27" s="12"/>
      <c r="M27" s="13">
        <f t="shared" si="6"/>
        <v>205.59999999999991</v>
      </c>
      <c r="N27" s="14">
        <f t="shared" si="0"/>
        <v>3560</v>
      </c>
      <c r="O27" s="29" t="s">
        <v>47</v>
      </c>
      <c r="P27" s="33">
        <f t="shared" si="1"/>
        <v>20.559999999999992</v>
      </c>
      <c r="Q27" s="33">
        <f t="shared" si="2"/>
        <v>22.204799999999992</v>
      </c>
    </row>
    <row r="28" spans="1:17" s="55" customFormat="1" x14ac:dyDescent="0.25">
      <c r="A28" s="5">
        <v>222</v>
      </c>
      <c r="B28" s="6" t="s">
        <v>39</v>
      </c>
      <c r="C28" s="7">
        <v>7000</v>
      </c>
      <c r="D28" s="7">
        <v>419.88</v>
      </c>
      <c r="E28" s="8">
        <f t="shared" si="3"/>
        <v>2519.2799999999997</v>
      </c>
      <c r="F28" s="8">
        <f t="shared" si="5"/>
        <v>419.88</v>
      </c>
      <c r="G28" s="9">
        <f t="shared" si="4"/>
        <v>2939.16</v>
      </c>
      <c r="H28" s="37">
        <v>3354.2</v>
      </c>
      <c r="I28" s="10">
        <v>150</v>
      </c>
      <c r="J28" s="10">
        <v>70</v>
      </c>
      <c r="K28" s="21"/>
      <c r="L28" s="19"/>
      <c r="M28" s="13">
        <f t="shared" si="6"/>
        <v>3425.8</v>
      </c>
      <c r="N28" s="14">
        <f t="shared" si="0"/>
        <v>6780</v>
      </c>
      <c r="O28" s="29" t="s">
        <v>47</v>
      </c>
      <c r="P28" s="33">
        <f t="shared" si="1"/>
        <v>342.58000000000004</v>
      </c>
      <c r="Q28" s="33">
        <f t="shared" si="2"/>
        <v>369.98640000000006</v>
      </c>
    </row>
    <row r="29" spans="1:17" s="55" customFormat="1" x14ac:dyDescent="0.25">
      <c r="A29" s="5">
        <v>226</v>
      </c>
      <c r="B29" s="6" t="s">
        <v>40</v>
      </c>
      <c r="C29" s="7">
        <v>7500</v>
      </c>
      <c r="D29" s="7">
        <v>419.88</v>
      </c>
      <c r="E29" s="8">
        <f t="shared" si="3"/>
        <v>2519.2799999999997</v>
      </c>
      <c r="F29" s="8">
        <f t="shared" si="5"/>
        <v>419.88</v>
      </c>
      <c r="G29" s="9">
        <f t="shared" si="4"/>
        <v>2939.16</v>
      </c>
      <c r="H29" s="37">
        <v>3354.4</v>
      </c>
      <c r="I29" s="10">
        <v>150</v>
      </c>
      <c r="J29" s="10">
        <v>0</v>
      </c>
      <c r="K29" s="21"/>
      <c r="L29" s="12"/>
      <c r="M29" s="13">
        <f t="shared" si="6"/>
        <v>3995.6000000000004</v>
      </c>
      <c r="N29" s="14">
        <f t="shared" si="0"/>
        <v>7350</v>
      </c>
      <c r="O29" s="29" t="s">
        <v>47</v>
      </c>
      <c r="P29" s="33">
        <f t="shared" si="1"/>
        <v>399.56000000000006</v>
      </c>
      <c r="Q29" s="33">
        <f t="shared" si="2"/>
        <v>431.52480000000008</v>
      </c>
    </row>
    <row r="30" spans="1:17" s="55" customFormat="1" x14ac:dyDescent="0.25">
      <c r="A30" s="5">
        <v>227</v>
      </c>
      <c r="B30" s="6" t="s">
        <v>41</v>
      </c>
      <c r="C30" s="7">
        <v>6000</v>
      </c>
      <c r="D30" s="7">
        <v>419.88</v>
      </c>
      <c r="E30" s="8">
        <f t="shared" si="3"/>
        <v>2519.2799999999997</v>
      </c>
      <c r="F30" s="8">
        <f t="shared" si="5"/>
        <v>419.88</v>
      </c>
      <c r="G30" s="9">
        <f t="shared" si="4"/>
        <v>2939.16</v>
      </c>
      <c r="H30" s="37">
        <v>2778.6</v>
      </c>
      <c r="I30" s="10">
        <v>150</v>
      </c>
      <c r="J30" s="10">
        <v>140</v>
      </c>
      <c r="K30" s="21">
        <v>940.48</v>
      </c>
      <c r="L30" s="12"/>
      <c r="M30" s="13">
        <f t="shared" si="6"/>
        <v>1990.92</v>
      </c>
      <c r="N30" s="14">
        <f t="shared" si="0"/>
        <v>4769.5200000000004</v>
      </c>
      <c r="O30" s="29" t="s">
        <v>47</v>
      </c>
      <c r="P30" s="33">
        <f t="shared" si="1"/>
        <v>199.09200000000001</v>
      </c>
      <c r="Q30" s="33">
        <f t="shared" si="2"/>
        <v>215.01936000000003</v>
      </c>
    </row>
    <row r="31" spans="1:17" s="55" customFormat="1" x14ac:dyDescent="0.25">
      <c r="A31" s="5">
        <v>233</v>
      </c>
      <c r="B31" s="6" t="s">
        <v>42</v>
      </c>
      <c r="C31" s="7">
        <v>6250</v>
      </c>
      <c r="D31" s="7">
        <v>419.88</v>
      </c>
      <c r="E31" s="8">
        <f t="shared" si="3"/>
        <v>2519.2799999999997</v>
      </c>
      <c r="F31" s="8">
        <f t="shared" si="5"/>
        <v>419.88</v>
      </c>
      <c r="G31" s="9">
        <f t="shared" si="4"/>
        <v>2939.16</v>
      </c>
      <c r="H31" s="37">
        <v>3354.4</v>
      </c>
      <c r="I31" s="10">
        <v>300</v>
      </c>
      <c r="J31" s="10">
        <v>70</v>
      </c>
      <c r="K31" s="21"/>
      <c r="L31" s="19"/>
      <c r="M31" s="13">
        <f t="shared" si="6"/>
        <v>2525.6</v>
      </c>
      <c r="N31" s="14">
        <f t="shared" si="0"/>
        <v>5880</v>
      </c>
      <c r="O31" s="31" t="s">
        <v>47</v>
      </c>
      <c r="P31" s="33">
        <f t="shared" si="1"/>
        <v>252.56</v>
      </c>
      <c r="Q31" s="33">
        <f t="shared" si="2"/>
        <v>272.76480000000004</v>
      </c>
    </row>
    <row r="32" spans="1:17" s="55" customFormat="1" x14ac:dyDescent="0.25">
      <c r="A32" s="5">
        <v>237</v>
      </c>
      <c r="B32" s="6" t="s">
        <v>43</v>
      </c>
      <c r="C32" s="7">
        <v>5000</v>
      </c>
      <c r="D32" s="7">
        <v>419.88</v>
      </c>
      <c r="E32" s="8">
        <f t="shared" si="3"/>
        <v>2519.2799999999997</v>
      </c>
      <c r="F32" s="8">
        <f t="shared" si="5"/>
        <v>419.88</v>
      </c>
      <c r="G32" s="9">
        <f t="shared" si="4"/>
        <v>2939.16</v>
      </c>
      <c r="H32" s="37">
        <v>3354.4</v>
      </c>
      <c r="I32" s="10">
        <v>150</v>
      </c>
      <c r="J32" s="10">
        <v>35</v>
      </c>
      <c r="K32" s="21"/>
      <c r="L32" s="19"/>
      <c r="M32" s="13">
        <f>C32-H32-I32+L32-K32-J32</f>
        <v>1460.6</v>
      </c>
      <c r="N32" s="14">
        <f>H32+M32</f>
        <v>4815</v>
      </c>
      <c r="O32" s="29" t="s">
        <v>47</v>
      </c>
      <c r="P32" s="33">
        <f>+M32*0.1</f>
        <v>146.06</v>
      </c>
      <c r="Q32" s="33">
        <f t="shared" si="2"/>
        <v>157.74480000000003</v>
      </c>
    </row>
    <row r="33" spans="1:17" s="55" customFormat="1" x14ac:dyDescent="0.25">
      <c r="A33" s="5">
        <v>244</v>
      </c>
      <c r="B33" s="6" t="s">
        <v>44</v>
      </c>
      <c r="C33" s="7">
        <v>5000</v>
      </c>
      <c r="D33" s="7">
        <v>419.88</v>
      </c>
      <c r="E33" s="8">
        <f t="shared" si="3"/>
        <v>2519.2799999999997</v>
      </c>
      <c r="F33" s="8">
        <f t="shared" si="5"/>
        <v>419.88</v>
      </c>
      <c r="G33" s="9">
        <f t="shared" si="4"/>
        <v>2939.16</v>
      </c>
      <c r="H33" s="37">
        <v>3354.4</v>
      </c>
      <c r="I33" s="10">
        <v>225</v>
      </c>
      <c r="J33" s="10">
        <v>0</v>
      </c>
      <c r="K33" s="21"/>
      <c r="L33" s="12"/>
      <c r="M33" s="13">
        <f>C33-H33-I33+L33-K33-J33</f>
        <v>1420.6</v>
      </c>
      <c r="N33" s="14">
        <f t="shared" si="0"/>
        <v>4775</v>
      </c>
      <c r="O33" s="29" t="s">
        <v>47</v>
      </c>
      <c r="P33" s="33">
        <f t="shared" si="1"/>
        <v>142.06</v>
      </c>
      <c r="Q33" s="33">
        <f t="shared" si="2"/>
        <v>153.4248</v>
      </c>
    </row>
    <row r="34" spans="1:17" s="55" customFormat="1" x14ac:dyDescent="0.25">
      <c r="A34" s="5">
        <v>245</v>
      </c>
      <c r="B34" s="6" t="s">
        <v>45</v>
      </c>
      <c r="C34" s="7">
        <v>5000</v>
      </c>
      <c r="D34" s="7">
        <v>419.88</v>
      </c>
      <c r="E34" s="8">
        <f t="shared" si="3"/>
        <v>2519.2799999999997</v>
      </c>
      <c r="F34" s="8">
        <f t="shared" si="5"/>
        <v>419.88</v>
      </c>
      <c r="G34" s="9">
        <f t="shared" si="4"/>
        <v>2939.16</v>
      </c>
      <c r="H34" s="37">
        <v>3354.4</v>
      </c>
      <c r="I34" s="10">
        <v>0</v>
      </c>
      <c r="J34" s="10">
        <v>0</v>
      </c>
      <c r="K34" s="21"/>
      <c r="L34" s="19"/>
      <c r="M34" s="13">
        <f t="shared" si="6"/>
        <v>1645.6</v>
      </c>
      <c r="N34" s="14">
        <f t="shared" si="0"/>
        <v>5000</v>
      </c>
      <c r="O34" s="34">
        <v>2</v>
      </c>
      <c r="P34" s="33">
        <f t="shared" si="1"/>
        <v>164.56</v>
      </c>
      <c r="Q34" s="33">
        <f t="shared" si="2"/>
        <v>177.72480000000002</v>
      </c>
    </row>
    <row r="35" spans="1:17" s="55" customFormat="1" x14ac:dyDescent="0.25">
      <c r="A35" s="5">
        <v>252</v>
      </c>
      <c r="B35" s="6" t="s">
        <v>53</v>
      </c>
      <c r="C35" s="7">
        <v>4000</v>
      </c>
      <c r="D35" s="7">
        <v>419.88</v>
      </c>
      <c r="E35" s="8">
        <f t="shared" si="3"/>
        <v>2519.2799999999997</v>
      </c>
      <c r="F35" s="8">
        <f t="shared" si="5"/>
        <v>419.88</v>
      </c>
      <c r="G35" s="9">
        <f t="shared" si="4"/>
        <v>2939.16</v>
      </c>
      <c r="H35" s="37">
        <v>3354.2</v>
      </c>
      <c r="I35" s="10">
        <v>150</v>
      </c>
      <c r="J35" s="10">
        <v>70</v>
      </c>
      <c r="K35" s="21"/>
      <c r="L35" s="19"/>
      <c r="M35" s="13">
        <f t="shared" si="6"/>
        <v>425.80000000000018</v>
      </c>
      <c r="N35" s="14">
        <f t="shared" si="0"/>
        <v>3780</v>
      </c>
      <c r="O35" s="5" t="s">
        <v>47</v>
      </c>
      <c r="P35" s="33">
        <f t="shared" si="1"/>
        <v>42.58000000000002</v>
      </c>
      <c r="Q35" s="33">
        <f t="shared" si="2"/>
        <v>45.986400000000025</v>
      </c>
    </row>
    <row r="36" spans="1:17" s="55" customFormat="1" x14ac:dyDescent="0.25">
      <c r="A36" s="5">
        <v>260</v>
      </c>
      <c r="B36" s="6" t="s">
        <v>54</v>
      </c>
      <c r="C36" s="7">
        <v>5000</v>
      </c>
      <c r="D36" s="7">
        <v>419.88</v>
      </c>
      <c r="E36" s="8">
        <f t="shared" si="3"/>
        <v>2519.2799999999997</v>
      </c>
      <c r="F36" s="8">
        <f t="shared" si="5"/>
        <v>419.88</v>
      </c>
      <c r="G36" s="9">
        <f t="shared" si="4"/>
        <v>2939.16</v>
      </c>
      <c r="H36" s="37">
        <v>3354.4</v>
      </c>
      <c r="I36" s="10">
        <v>0</v>
      </c>
      <c r="J36" s="10">
        <v>0</v>
      </c>
      <c r="K36" s="21"/>
      <c r="L36" s="19"/>
      <c r="M36" s="13">
        <f t="shared" si="6"/>
        <v>1645.6</v>
      </c>
      <c r="N36" s="14">
        <f t="shared" si="0"/>
        <v>5000</v>
      </c>
      <c r="O36" s="5" t="s">
        <v>47</v>
      </c>
      <c r="P36" s="33">
        <f t="shared" si="1"/>
        <v>164.56</v>
      </c>
      <c r="Q36" s="33">
        <f t="shared" si="2"/>
        <v>177.72480000000002</v>
      </c>
    </row>
    <row r="37" spans="1:17" s="55" customFormat="1" x14ac:dyDescent="0.25">
      <c r="A37" s="5">
        <v>261</v>
      </c>
      <c r="B37" s="6" t="s">
        <v>55</v>
      </c>
      <c r="C37" s="7">
        <v>4000</v>
      </c>
      <c r="D37" s="7">
        <v>419.88</v>
      </c>
      <c r="E37" s="8">
        <f t="shared" si="3"/>
        <v>2519.2799999999997</v>
      </c>
      <c r="F37" s="8">
        <f t="shared" si="5"/>
        <v>419.88</v>
      </c>
      <c r="G37" s="9">
        <f t="shared" si="4"/>
        <v>2939.16</v>
      </c>
      <c r="H37" s="37">
        <v>2325</v>
      </c>
      <c r="I37" s="10">
        <v>150</v>
      </c>
      <c r="J37" s="10">
        <v>70</v>
      </c>
      <c r="K37" s="16">
        <v>944.31</v>
      </c>
      <c r="L37" s="19"/>
      <c r="M37" s="13">
        <f t="shared" si="6"/>
        <v>510.69000000000005</v>
      </c>
      <c r="N37" s="14">
        <f t="shared" si="0"/>
        <v>2835.69</v>
      </c>
      <c r="O37" s="5" t="s">
        <v>47</v>
      </c>
      <c r="P37" s="33">
        <f t="shared" si="1"/>
        <v>51.06900000000001</v>
      </c>
      <c r="Q37" s="33">
        <f t="shared" si="2"/>
        <v>55.154520000000012</v>
      </c>
    </row>
    <row r="38" spans="1:17" s="55" customFormat="1" x14ac:dyDescent="0.25">
      <c r="A38" s="5">
        <v>267</v>
      </c>
      <c r="B38" s="6" t="s">
        <v>56</v>
      </c>
      <c r="C38" s="7">
        <v>5000</v>
      </c>
      <c r="D38" s="7">
        <v>419.88</v>
      </c>
      <c r="E38" s="8">
        <f t="shared" si="3"/>
        <v>2519.2799999999997</v>
      </c>
      <c r="F38" s="8">
        <f>$D$4</f>
        <v>419.88</v>
      </c>
      <c r="G38" s="9">
        <f t="shared" si="4"/>
        <v>2939.16</v>
      </c>
      <c r="H38" s="37">
        <v>2366.6</v>
      </c>
      <c r="I38" s="10">
        <v>150</v>
      </c>
      <c r="J38" s="10">
        <v>70</v>
      </c>
      <c r="K38" s="16">
        <v>1030.96</v>
      </c>
      <c r="L38" s="19"/>
      <c r="M38" s="13">
        <f t="shared" si="6"/>
        <v>1382.44</v>
      </c>
      <c r="N38" s="14">
        <f t="shared" si="0"/>
        <v>3749.04</v>
      </c>
      <c r="O38" s="5" t="s">
        <v>47</v>
      </c>
      <c r="P38" s="33">
        <f t="shared" si="1"/>
        <v>138.244</v>
      </c>
      <c r="Q38" s="33">
        <f t="shared" si="2"/>
        <v>149.30352000000002</v>
      </c>
    </row>
    <row r="39" spans="1:17" s="55" customFormat="1" x14ac:dyDescent="0.25">
      <c r="A39" s="5">
        <v>268</v>
      </c>
      <c r="B39" s="6" t="s">
        <v>57</v>
      </c>
      <c r="C39" s="7">
        <v>4000</v>
      </c>
      <c r="D39" s="7">
        <v>419.88</v>
      </c>
      <c r="E39" s="8">
        <f t="shared" si="3"/>
        <v>2519.2799999999997</v>
      </c>
      <c r="F39" s="8">
        <f t="shared" ref="F39:F57" si="7">$D$4</f>
        <v>419.88</v>
      </c>
      <c r="G39" s="9">
        <f t="shared" si="4"/>
        <v>2939.16</v>
      </c>
      <c r="H39" s="37">
        <v>3354.2</v>
      </c>
      <c r="I39" s="10">
        <v>0</v>
      </c>
      <c r="J39" s="10">
        <v>0</v>
      </c>
      <c r="K39" s="11"/>
      <c r="L39" s="19"/>
      <c r="M39" s="13">
        <f t="shared" si="6"/>
        <v>645.80000000000018</v>
      </c>
      <c r="N39" s="14">
        <f t="shared" si="0"/>
        <v>4000</v>
      </c>
      <c r="O39" s="5" t="s">
        <v>47</v>
      </c>
      <c r="P39" s="33">
        <f t="shared" si="1"/>
        <v>64.580000000000027</v>
      </c>
      <c r="Q39" s="33">
        <f t="shared" si="2"/>
        <v>69.746400000000037</v>
      </c>
    </row>
    <row r="40" spans="1:17" s="55" customFormat="1" x14ac:dyDescent="0.25">
      <c r="A40" s="5">
        <v>269</v>
      </c>
      <c r="B40" s="6" t="s">
        <v>58</v>
      </c>
      <c r="C40" s="7">
        <v>5000</v>
      </c>
      <c r="D40" s="7">
        <v>419.88</v>
      </c>
      <c r="E40" s="8">
        <f t="shared" si="3"/>
        <v>2519.2799999999997</v>
      </c>
      <c r="F40" s="8">
        <f t="shared" si="7"/>
        <v>419.88</v>
      </c>
      <c r="G40" s="9">
        <f t="shared" si="4"/>
        <v>2939.16</v>
      </c>
      <c r="H40" s="37">
        <v>3120.4</v>
      </c>
      <c r="I40" s="10">
        <v>75</v>
      </c>
      <c r="J40" s="10">
        <v>70</v>
      </c>
      <c r="K40" s="21">
        <v>293.92</v>
      </c>
      <c r="L40" s="19"/>
      <c r="M40" s="13">
        <f t="shared" si="6"/>
        <v>1440.6799999999998</v>
      </c>
      <c r="N40" s="14">
        <f t="shared" si="0"/>
        <v>4561.08</v>
      </c>
      <c r="O40" s="5" t="s">
        <v>47</v>
      </c>
      <c r="P40" s="33">
        <f t="shared" si="1"/>
        <v>144.06799999999998</v>
      </c>
      <c r="Q40" s="33">
        <f t="shared" si="2"/>
        <v>155.59343999999999</v>
      </c>
    </row>
    <row r="41" spans="1:17" s="55" customFormat="1" x14ac:dyDescent="0.25">
      <c r="A41" s="5">
        <v>271</v>
      </c>
      <c r="B41" s="6" t="s">
        <v>59</v>
      </c>
      <c r="C41" s="7">
        <v>3500</v>
      </c>
      <c r="D41" s="7">
        <v>419.88</v>
      </c>
      <c r="E41" s="8">
        <f t="shared" si="3"/>
        <v>2519.2799999999997</v>
      </c>
      <c r="F41" s="8">
        <f t="shared" si="7"/>
        <v>419.88</v>
      </c>
      <c r="G41" s="9">
        <f t="shared" si="4"/>
        <v>2939.16</v>
      </c>
      <c r="H41" s="37">
        <v>3315</v>
      </c>
      <c r="I41" s="10">
        <v>150</v>
      </c>
      <c r="J41" s="10">
        <v>35</v>
      </c>
      <c r="K41" s="21"/>
      <c r="L41" s="19"/>
      <c r="M41" s="13">
        <f t="shared" si="6"/>
        <v>0</v>
      </c>
      <c r="N41" s="14">
        <f t="shared" si="0"/>
        <v>3315</v>
      </c>
      <c r="O41" s="5" t="s">
        <v>47</v>
      </c>
      <c r="P41" s="33">
        <f t="shared" si="1"/>
        <v>0</v>
      </c>
      <c r="Q41" s="33">
        <f t="shared" si="2"/>
        <v>0</v>
      </c>
    </row>
    <row r="42" spans="1:17" s="55" customFormat="1" x14ac:dyDescent="0.25">
      <c r="A42" s="5">
        <v>275</v>
      </c>
      <c r="B42" s="6" t="s">
        <v>60</v>
      </c>
      <c r="C42" s="7">
        <v>3375</v>
      </c>
      <c r="D42" s="7">
        <v>419.88</v>
      </c>
      <c r="E42" s="8">
        <f t="shared" si="3"/>
        <v>2519.2799999999997</v>
      </c>
      <c r="F42" s="8">
        <f t="shared" si="7"/>
        <v>419.88</v>
      </c>
      <c r="G42" s="9">
        <f t="shared" si="4"/>
        <v>2939.16</v>
      </c>
      <c r="H42" s="37">
        <v>3354.4</v>
      </c>
      <c r="I42" s="10">
        <v>0</v>
      </c>
      <c r="J42" s="10">
        <v>0</v>
      </c>
      <c r="K42" s="21"/>
      <c r="L42" s="19"/>
      <c r="M42" s="13">
        <f t="shared" si="6"/>
        <v>20.599999999999909</v>
      </c>
      <c r="N42" s="14">
        <f t="shared" si="0"/>
        <v>3375</v>
      </c>
      <c r="O42" s="5" t="s">
        <v>47</v>
      </c>
      <c r="P42" s="33">
        <f t="shared" si="1"/>
        <v>2.0599999999999912</v>
      </c>
      <c r="Q42" s="33">
        <f t="shared" si="2"/>
        <v>2.2247999999999908</v>
      </c>
    </row>
    <row r="43" spans="1:17" s="55" customFormat="1" x14ac:dyDescent="0.25">
      <c r="A43" s="5">
        <v>276</v>
      </c>
      <c r="B43" s="6" t="s">
        <v>61</v>
      </c>
      <c r="C43" s="7">
        <v>5000</v>
      </c>
      <c r="D43" s="7">
        <v>419.88</v>
      </c>
      <c r="E43" s="8">
        <f t="shared" si="3"/>
        <v>2519.2799999999997</v>
      </c>
      <c r="F43" s="8">
        <f t="shared" si="7"/>
        <v>419.88</v>
      </c>
      <c r="G43" s="9">
        <f t="shared" si="4"/>
        <v>2939.16</v>
      </c>
      <c r="H43" s="37">
        <v>3354.4</v>
      </c>
      <c r="I43" s="10">
        <v>300</v>
      </c>
      <c r="J43" s="10">
        <v>140</v>
      </c>
      <c r="K43" s="11"/>
      <c r="L43" s="19"/>
      <c r="M43" s="13">
        <f t="shared" si="6"/>
        <v>1205.5999999999999</v>
      </c>
      <c r="N43" s="14">
        <f t="shared" si="0"/>
        <v>4560</v>
      </c>
      <c r="O43" s="5" t="s">
        <v>47</v>
      </c>
      <c r="P43" s="33">
        <f t="shared" si="1"/>
        <v>120.56</v>
      </c>
      <c r="Q43" s="33">
        <f t="shared" si="2"/>
        <v>130.20480000000001</v>
      </c>
    </row>
    <row r="44" spans="1:17" s="55" customFormat="1" x14ac:dyDescent="0.25">
      <c r="A44" s="70">
        <v>278</v>
      </c>
      <c r="B44" s="71" t="s">
        <v>62</v>
      </c>
      <c r="C44" s="72">
        <v>5000</v>
      </c>
      <c r="D44" s="72">
        <v>419.88</v>
      </c>
      <c r="E44" s="73">
        <f t="shared" si="3"/>
        <v>2519.2799999999997</v>
      </c>
      <c r="F44" s="73">
        <f t="shared" si="7"/>
        <v>419.88</v>
      </c>
      <c r="G44" s="74">
        <f t="shared" si="4"/>
        <v>2939.16</v>
      </c>
      <c r="H44" s="75"/>
      <c r="I44" s="76">
        <v>0</v>
      </c>
      <c r="J44" s="76">
        <v>0</v>
      </c>
      <c r="K44" s="77"/>
      <c r="L44" s="78"/>
      <c r="M44" s="13">
        <f>C44-H44-I44+L44-K44-J44-3354.4</f>
        <v>1645.6</v>
      </c>
      <c r="N44" s="80">
        <f t="shared" si="0"/>
        <v>1645.6</v>
      </c>
      <c r="O44" s="70" t="s">
        <v>47</v>
      </c>
      <c r="P44" s="82">
        <f t="shared" si="1"/>
        <v>164.56</v>
      </c>
      <c r="Q44" s="82">
        <f t="shared" si="2"/>
        <v>177.72480000000002</v>
      </c>
    </row>
    <row r="45" spans="1:17" s="55" customFormat="1" x14ac:dyDescent="0.25">
      <c r="A45" s="5">
        <v>279</v>
      </c>
      <c r="B45" s="6" t="s">
        <v>63</v>
      </c>
      <c r="C45" s="7">
        <v>3500</v>
      </c>
      <c r="D45" s="7">
        <v>419.88</v>
      </c>
      <c r="E45" s="8">
        <f t="shared" si="3"/>
        <v>2519.2799999999997</v>
      </c>
      <c r="F45" s="8">
        <f t="shared" si="7"/>
        <v>419.88</v>
      </c>
      <c r="G45" s="9">
        <f t="shared" si="4"/>
        <v>2939.16</v>
      </c>
      <c r="H45" s="37">
        <v>2732.2</v>
      </c>
      <c r="I45" s="10">
        <v>75</v>
      </c>
      <c r="J45" s="10">
        <v>105</v>
      </c>
      <c r="K45" s="21">
        <v>587.84</v>
      </c>
      <c r="L45" s="19"/>
      <c r="M45" s="69">
        <f>C45-H45-I45+L45-K45-J45+0.04</f>
        <v>1.5006745845980163E-13</v>
      </c>
      <c r="N45" s="14">
        <f t="shared" si="0"/>
        <v>2732.2</v>
      </c>
      <c r="O45" s="5" t="s">
        <v>47</v>
      </c>
      <c r="P45" s="33">
        <f t="shared" si="1"/>
        <v>1.5006745845980165E-14</v>
      </c>
      <c r="Q45" s="33">
        <f t="shared" si="2"/>
        <v>1.6207285513658578E-14</v>
      </c>
    </row>
    <row r="46" spans="1:17" s="55" customFormat="1" x14ac:dyDescent="0.25">
      <c r="A46" s="5">
        <v>280</v>
      </c>
      <c r="B46" s="6" t="s">
        <v>64</v>
      </c>
      <c r="C46" s="7">
        <v>5000</v>
      </c>
      <c r="D46" s="7">
        <v>419.88</v>
      </c>
      <c r="E46" s="8">
        <f t="shared" si="3"/>
        <v>2519.2799999999997</v>
      </c>
      <c r="F46" s="8">
        <f t="shared" si="7"/>
        <v>419.88</v>
      </c>
      <c r="G46" s="9">
        <f t="shared" si="4"/>
        <v>2939.16</v>
      </c>
      <c r="H46" s="37">
        <v>3354.4</v>
      </c>
      <c r="I46" s="10">
        <v>0</v>
      </c>
      <c r="J46" s="10">
        <v>0</v>
      </c>
      <c r="K46" s="11"/>
      <c r="L46" s="19"/>
      <c r="M46" s="13">
        <f t="shared" si="6"/>
        <v>1645.6</v>
      </c>
      <c r="N46" s="14">
        <f t="shared" si="0"/>
        <v>5000</v>
      </c>
      <c r="O46" s="5" t="s">
        <v>47</v>
      </c>
      <c r="P46" s="33">
        <f t="shared" si="1"/>
        <v>164.56</v>
      </c>
      <c r="Q46" s="33">
        <f t="shared" si="2"/>
        <v>177.72480000000002</v>
      </c>
    </row>
    <row r="47" spans="1:17" s="55" customFormat="1" x14ac:dyDescent="0.25">
      <c r="A47" s="5">
        <v>281</v>
      </c>
      <c r="B47" s="6" t="s">
        <v>65</v>
      </c>
      <c r="C47" s="7">
        <v>8750</v>
      </c>
      <c r="D47" s="7">
        <v>419.88</v>
      </c>
      <c r="E47" s="8">
        <f t="shared" si="3"/>
        <v>2519.2799999999997</v>
      </c>
      <c r="F47" s="8">
        <f t="shared" si="7"/>
        <v>419.88</v>
      </c>
      <c r="G47" s="9">
        <f t="shared" si="4"/>
        <v>2939.16</v>
      </c>
      <c r="H47" s="37">
        <v>3354.4</v>
      </c>
      <c r="I47" s="10">
        <v>0</v>
      </c>
      <c r="J47" s="10">
        <v>0</v>
      </c>
      <c r="K47" s="11"/>
      <c r="L47" s="19"/>
      <c r="M47" s="13">
        <f t="shared" si="6"/>
        <v>5395.6</v>
      </c>
      <c r="N47" s="14">
        <f t="shared" si="0"/>
        <v>8750</v>
      </c>
      <c r="O47" s="5" t="s">
        <v>47</v>
      </c>
      <c r="P47" s="33">
        <f t="shared" si="1"/>
        <v>539.56000000000006</v>
      </c>
      <c r="Q47" s="33">
        <f t="shared" si="2"/>
        <v>582.72480000000007</v>
      </c>
    </row>
    <row r="48" spans="1:17" x14ac:dyDescent="0.25">
      <c r="A48" s="5">
        <v>283</v>
      </c>
      <c r="B48" s="6" t="s">
        <v>66</v>
      </c>
      <c r="C48" s="7">
        <v>5000</v>
      </c>
      <c r="D48" s="7">
        <v>419.88</v>
      </c>
      <c r="E48" s="8">
        <f t="shared" si="3"/>
        <v>2519.2799999999997</v>
      </c>
      <c r="F48" s="8">
        <f t="shared" si="7"/>
        <v>419.88</v>
      </c>
      <c r="G48" s="9">
        <f t="shared" si="4"/>
        <v>2939.16</v>
      </c>
      <c r="H48" s="37">
        <v>3354.2</v>
      </c>
      <c r="I48" s="10">
        <v>0</v>
      </c>
      <c r="J48" s="10">
        <v>0</v>
      </c>
      <c r="K48" s="11"/>
      <c r="L48" s="19"/>
      <c r="M48" s="13">
        <f t="shared" si="6"/>
        <v>1645.8000000000002</v>
      </c>
      <c r="N48" s="14">
        <f t="shared" si="0"/>
        <v>5000</v>
      </c>
      <c r="O48" s="5" t="s">
        <v>47</v>
      </c>
      <c r="P48" s="33">
        <f t="shared" si="1"/>
        <v>164.58000000000004</v>
      </c>
      <c r="Q48" s="33">
        <f t="shared" si="2"/>
        <v>177.74640000000005</v>
      </c>
    </row>
    <row r="49" spans="1:18" x14ac:dyDescent="0.25">
      <c r="A49" s="5">
        <v>284</v>
      </c>
      <c r="B49" s="6" t="s">
        <v>67</v>
      </c>
      <c r="C49" s="7">
        <v>4000</v>
      </c>
      <c r="D49" s="7">
        <v>419.88</v>
      </c>
      <c r="E49" s="8">
        <f t="shared" si="3"/>
        <v>2519.2799999999997</v>
      </c>
      <c r="F49" s="8">
        <f t="shared" si="7"/>
        <v>419.88</v>
      </c>
      <c r="G49" s="9">
        <f t="shared" si="4"/>
        <v>2939.16</v>
      </c>
      <c r="H49" s="37">
        <v>3354.4</v>
      </c>
      <c r="I49" s="10">
        <v>0</v>
      </c>
      <c r="J49" s="10">
        <v>0</v>
      </c>
      <c r="K49" s="11"/>
      <c r="L49" s="19"/>
      <c r="M49" s="13">
        <f t="shared" si="6"/>
        <v>645.59999999999991</v>
      </c>
      <c r="N49" s="14">
        <f t="shared" si="0"/>
        <v>4000</v>
      </c>
      <c r="O49" s="5" t="s">
        <v>47</v>
      </c>
      <c r="P49" s="33">
        <f t="shared" si="1"/>
        <v>64.559999999999988</v>
      </c>
      <c r="Q49" s="33">
        <f t="shared" si="2"/>
        <v>69.724799999999988</v>
      </c>
    </row>
    <row r="50" spans="1:18" x14ac:dyDescent="0.25">
      <c r="A50" s="5">
        <v>285</v>
      </c>
      <c r="B50" s="6" t="s">
        <v>68</v>
      </c>
      <c r="C50" s="7">
        <v>4000</v>
      </c>
      <c r="D50" s="7">
        <v>419.88</v>
      </c>
      <c r="E50" s="8">
        <f t="shared" si="3"/>
        <v>2519.2799999999997</v>
      </c>
      <c r="F50" s="8">
        <f t="shared" si="7"/>
        <v>419.88</v>
      </c>
      <c r="G50" s="9">
        <f t="shared" si="4"/>
        <v>2939.16</v>
      </c>
      <c r="H50" s="37">
        <v>3354.2</v>
      </c>
      <c r="I50" s="10">
        <v>0</v>
      </c>
      <c r="J50" s="10">
        <v>0</v>
      </c>
      <c r="K50" s="11"/>
      <c r="L50" s="19"/>
      <c r="M50" s="13">
        <f t="shared" si="6"/>
        <v>645.80000000000018</v>
      </c>
      <c r="N50" s="14">
        <f t="shared" si="0"/>
        <v>4000</v>
      </c>
      <c r="O50" s="5" t="s">
        <v>47</v>
      </c>
      <c r="P50" s="33">
        <f t="shared" si="1"/>
        <v>64.580000000000027</v>
      </c>
      <c r="Q50" s="33">
        <f t="shared" si="2"/>
        <v>69.746400000000037</v>
      </c>
    </row>
    <row r="51" spans="1:18" x14ac:dyDescent="0.25">
      <c r="A51" s="5">
        <v>286</v>
      </c>
      <c r="B51" s="6" t="s">
        <v>69</v>
      </c>
      <c r="C51" s="7">
        <v>4000</v>
      </c>
      <c r="D51" s="7">
        <v>419.88</v>
      </c>
      <c r="E51" s="8">
        <f t="shared" si="3"/>
        <v>2519.2799999999997</v>
      </c>
      <c r="F51" s="8">
        <f t="shared" si="7"/>
        <v>419.88</v>
      </c>
      <c r="G51" s="9">
        <f t="shared" si="4"/>
        <v>2939.16</v>
      </c>
      <c r="H51" s="37">
        <v>3354.2</v>
      </c>
      <c r="I51" s="10">
        <v>300</v>
      </c>
      <c r="J51" s="10">
        <v>0</v>
      </c>
      <c r="K51" s="11"/>
      <c r="L51" s="19"/>
      <c r="M51" s="13">
        <f t="shared" si="6"/>
        <v>345.80000000000018</v>
      </c>
      <c r="N51" s="14">
        <f t="shared" si="0"/>
        <v>3700</v>
      </c>
      <c r="O51" s="5" t="s">
        <v>47</v>
      </c>
      <c r="P51" s="33">
        <f t="shared" si="1"/>
        <v>34.58000000000002</v>
      </c>
      <c r="Q51" s="33">
        <f t="shared" si="2"/>
        <v>37.346400000000024</v>
      </c>
    </row>
    <row r="52" spans="1:18" x14ac:dyDescent="0.25">
      <c r="A52" s="5">
        <v>287</v>
      </c>
      <c r="B52" s="6" t="s">
        <v>72</v>
      </c>
      <c r="C52" s="7">
        <v>5000</v>
      </c>
      <c r="D52" s="7">
        <v>419.88</v>
      </c>
      <c r="E52" s="8">
        <f t="shared" si="3"/>
        <v>2519.2799999999997</v>
      </c>
      <c r="F52" s="8">
        <f t="shared" si="7"/>
        <v>419.88</v>
      </c>
      <c r="G52" s="9">
        <f t="shared" si="4"/>
        <v>2939.16</v>
      </c>
      <c r="H52" s="37">
        <v>3354.4</v>
      </c>
      <c r="I52" s="10">
        <v>225</v>
      </c>
      <c r="J52" s="10">
        <v>70</v>
      </c>
      <c r="K52" s="11"/>
      <c r="L52" s="19"/>
      <c r="M52" s="13">
        <f t="shared" si="6"/>
        <v>1350.6</v>
      </c>
      <c r="N52" s="14">
        <f t="shared" si="0"/>
        <v>4705</v>
      </c>
      <c r="O52" s="5" t="s">
        <v>47</v>
      </c>
      <c r="P52" s="33">
        <f t="shared" si="1"/>
        <v>135.06</v>
      </c>
      <c r="Q52" s="33">
        <f t="shared" si="2"/>
        <v>145.8648</v>
      </c>
    </row>
    <row r="53" spans="1:18" x14ac:dyDescent="0.25">
      <c r="A53" s="5">
        <v>288</v>
      </c>
      <c r="B53" s="6" t="s">
        <v>73</v>
      </c>
      <c r="C53" s="7">
        <v>3500</v>
      </c>
      <c r="D53" s="7">
        <v>419.88</v>
      </c>
      <c r="E53" s="8">
        <f t="shared" si="3"/>
        <v>2519.2799999999997</v>
      </c>
      <c r="F53" s="8">
        <f t="shared" si="7"/>
        <v>419.88</v>
      </c>
      <c r="G53" s="9">
        <f t="shared" si="4"/>
        <v>2939.16</v>
      </c>
      <c r="H53" s="37">
        <v>3354.4</v>
      </c>
      <c r="I53" s="10">
        <v>0</v>
      </c>
      <c r="J53" s="10">
        <v>0</v>
      </c>
      <c r="K53" s="11"/>
      <c r="L53" s="19"/>
      <c r="M53" s="13">
        <f t="shared" si="6"/>
        <v>145.59999999999991</v>
      </c>
      <c r="N53" s="14">
        <f t="shared" si="0"/>
        <v>3500</v>
      </c>
      <c r="O53" s="5" t="s">
        <v>47</v>
      </c>
      <c r="P53" s="33">
        <f t="shared" si="1"/>
        <v>14.559999999999992</v>
      </c>
      <c r="Q53" s="33">
        <f t="shared" si="2"/>
        <v>15.724799999999991</v>
      </c>
    </row>
    <row r="54" spans="1:18" x14ac:dyDescent="0.25">
      <c r="A54" s="5">
        <v>289</v>
      </c>
      <c r="B54" s="6" t="s">
        <v>74</v>
      </c>
      <c r="C54" s="7">
        <v>3500</v>
      </c>
      <c r="D54" s="7">
        <v>419.88</v>
      </c>
      <c r="E54" s="8">
        <f t="shared" si="3"/>
        <v>2519.2799999999997</v>
      </c>
      <c r="F54" s="8">
        <f t="shared" si="7"/>
        <v>419.88</v>
      </c>
      <c r="G54" s="9">
        <f t="shared" si="4"/>
        <v>2939.16</v>
      </c>
      <c r="H54" s="37">
        <v>3354.4</v>
      </c>
      <c r="I54" s="10">
        <v>0</v>
      </c>
      <c r="J54" s="10">
        <v>0</v>
      </c>
      <c r="K54" s="11"/>
      <c r="L54" s="19"/>
      <c r="M54" s="13">
        <f t="shared" si="6"/>
        <v>145.59999999999991</v>
      </c>
      <c r="N54" s="14">
        <f t="shared" si="0"/>
        <v>3500</v>
      </c>
      <c r="O54" s="5" t="s">
        <v>47</v>
      </c>
      <c r="P54" s="33">
        <f t="shared" si="1"/>
        <v>14.559999999999992</v>
      </c>
      <c r="Q54" s="33">
        <f t="shared" si="2"/>
        <v>15.724799999999991</v>
      </c>
    </row>
    <row r="55" spans="1:18" x14ac:dyDescent="0.25">
      <c r="A55" s="5">
        <v>290</v>
      </c>
      <c r="B55" s="6" t="s">
        <v>75</v>
      </c>
      <c r="C55" s="7">
        <v>6250</v>
      </c>
      <c r="D55" s="7">
        <v>419.88</v>
      </c>
      <c r="E55" s="8">
        <f t="shared" si="3"/>
        <v>2519.2799999999997</v>
      </c>
      <c r="F55" s="8">
        <f t="shared" si="7"/>
        <v>419.88</v>
      </c>
      <c r="G55" s="9">
        <f t="shared" si="4"/>
        <v>2939.16</v>
      </c>
      <c r="H55" s="37">
        <v>3354.4</v>
      </c>
      <c r="I55" s="10">
        <v>0</v>
      </c>
      <c r="J55" s="10">
        <v>0</v>
      </c>
      <c r="K55" s="11"/>
      <c r="L55" s="19"/>
      <c r="M55" s="13">
        <f t="shared" si="6"/>
        <v>2895.6</v>
      </c>
      <c r="N55" s="14">
        <f t="shared" si="0"/>
        <v>6250</v>
      </c>
      <c r="O55" s="5" t="s">
        <v>47</v>
      </c>
      <c r="P55" s="33">
        <f t="shared" si="1"/>
        <v>289.56</v>
      </c>
      <c r="Q55" s="33">
        <f t="shared" si="2"/>
        <v>312.72480000000002</v>
      </c>
    </row>
    <row r="56" spans="1:18" x14ac:dyDescent="0.25">
      <c r="A56" s="5">
        <v>291</v>
      </c>
      <c r="B56" s="6" t="s">
        <v>78</v>
      </c>
      <c r="C56" s="7">
        <v>4250</v>
      </c>
      <c r="D56" s="7">
        <v>419.88</v>
      </c>
      <c r="E56" s="8">
        <f>D56*6</f>
        <v>2519.2799999999997</v>
      </c>
      <c r="F56" s="8">
        <f t="shared" si="7"/>
        <v>419.88</v>
      </c>
      <c r="G56" s="9">
        <f>E56+F56</f>
        <v>2939.16</v>
      </c>
      <c r="H56" s="37">
        <v>3354.2</v>
      </c>
      <c r="I56" s="10">
        <v>0</v>
      </c>
      <c r="J56" s="10">
        <v>140</v>
      </c>
      <c r="K56" s="11"/>
      <c r="L56" s="19"/>
      <c r="M56" s="13">
        <f>C56-H56-I56+L56-K56-J56</f>
        <v>755.80000000000018</v>
      </c>
      <c r="N56" s="14">
        <f>H56+M56</f>
        <v>4110</v>
      </c>
      <c r="O56" s="5" t="s">
        <v>47</v>
      </c>
      <c r="P56" s="33">
        <f>+M56*0.1</f>
        <v>75.580000000000027</v>
      </c>
      <c r="Q56" s="33">
        <f>+P56*1.08</f>
        <v>81.626400000000032</v>
      </c>
    </row>
    <row r="57" spans="1:18" x14ac:dyDescent="0.25">
      <c r="A57" s="5">
        <v>291</v>
      </c>
      <c r="B57" s="6" t="s">
        <v>82</v>
      </c>
      <c r="C57" s="7">
        <v>4200</v>
      </c>
      <c r="D57" s="7">
        <v>419.88</v>
      </c>
      <c r="E57" s="8">
        <f t="shared" si="3"/>
        <v>2519.2799999999997</v>
      </c>
      <c r="F57" s="8">
        <f t="shared" si="7"/>
        <v>419.88</v>
      </c>
      <c r="G57" s="9">
        <f t="shared" si="4"/>
        <v>2939.16</v>
      </c>
      <c r="H57" s="37">
        <v>702</v>
      </c>
      <c r="I57" s="10">
        <v>0</v>
      </c>
      <c r="J57" s="10">
        <v>0</v>
      </c>
      <c r="K57" s="11">
        <v>3498</v>
      </c>
      <c r="L57" s="19"/>
      <c r="M57" s="13">
        <f t="shared" si="6"/>
        <v>0</v>
      </c>
      <c r="N57" s="14">
        <f t="shared" si="0"/>
        <v>702</v>
      </c>
      <c r="O57" s="5" t="s">
        <v>47</v>
      </c>
      <c r="P57" s="33">
        <f t="shared" si="1"/>
        <v>0</v>
      </c>
      <c r="Q57" s="33">
        <f t="shared" si="2"/>
        <v>0</v>
      </c>
    </row>
    <row r="58" spans="1:18" ht="16.149999999999999" customHeight="1" thickBot="1" x14ac:dyDescent="0.3"/>
    <row r="59" spans="1:18" ht="18" thickBot="1" x14ac:dyDescent="0.35">
      <c r="A59" s="23"/>
      <c r="B59" s="24"/>
      <c r="C59" s="25">
        <f t="shared" ref="C59:N59" si="8">SUM(C4:C58)</f>
        <v>269575</v>
      </c>
      <c r="D59" s="25">
        <f t="shared" si="8"/>
        <v>22673.52</v>
      </c>
      <c r="E59" s="25">
        <f t="shared" si="8"/>
        <v>136041.11999999997</v>
      </c>
      <c r="F59" s="25">
        <f t="shared" si="8"/>
        <v>22673.52</v>
      </c>
      <c r="G59" s="25">
        <f t="shared" si="8"/>
        <v>158714.64000000013</v>
      </c>
      <c r="H59" s="25">
        <f>SUM(H4:H58)</f>
        <v>302495.2000000003</v>
      </c>
      <c r="I59" s="26">
        <f t="shared" si="8"/>
        <v>5475</v>
      </c>
      <c r="J59" s="26">
        <f t="shared" si="8"/>
        <v>1890</v>
      </c>
      <c r="K59" s="26">
        <f t="shared" si="8"/>
        <v>11407.720000000001</v>
      </c>
      <c r="L59" s="27">
        <f t="shared" si="8"/>
        <v>2892.8500000000004</v>
      </c>
      <c r="M59" s="25">
        <f>SUM(M4:M58)</f>
        <v>76651.620000000039</v>
      </c>
      <c r="N59" s="25">
        <f t="shared" si="8"/>
        <v>379146.82</v>
      </c>
      <c r="P59" s="25">
        <f>SUM(P4:P58)</f>
        <v>7665.1620000000048</v>
      </c>
      <c r="Q59" s="25">
        <f>SUM(Q4:Q58)</f>
        <v>8278.374960000001</v>
      </c>
      <c r="R59" s="55">
        <f>+N59+Q59</f>
        <v>387425.19495999999</v>
      </c>
    </row>
    <row r="60" spans="1:18" x14ac:dyDescent="0.25">
      <c r="H60" s="15"/>
      <c r="M60" s="15"/>
    </row>
    <row r="61" spans="1:18" x14ac:dyDescent="0.25">
      <c r="H61" s="15"/>
      <c r="I61">
        <f>+I59/75</f>
        <v>73</v>
      </c>
      <c r="J61" s="28">
        <f>SUM(J59)/35</f>
        <v>54</v>
      </c>
      <c r="R61" s="55">
        <v>12886.8</v>
      </c>
    </row>
    <row r="62" spans="1:18" x14ac:dyDescent="0.25">
      <c r="F62" s="15"/>
      <c r="H62" s="15">
        <f>H59+M59</f>
        <v>379146.82000000036</v>
      </c>
      <c r="K62" s="15"/>
    </row>
    <row r="63" spans="1:18" x14ac:dyDescent="0.25">
      <c r="H63" s="15">
        <f>'[1]Nom 9'!$H$53</f>
        <v>131178.05999999994</v>
      </c>
      <c r="I63" s="40"/>
      <c r="J63" s="15"/>
    </row>
    <row r="64" spans="1:18" x14ac:dyDescent="0.25">
      <c r="H64" s="15">
        <f>[2]Rino!$H$8</f>
        <v>75398.810000000012</v>
      </c>
    </row>
    <row r="65" spans="8:8" x14ac:dyDescent="0.25">
      <c r="H65" s="15">
        <f>H63+H64</f>
        <v>206576.86999999994</v>
      </c>
    </row>
  </sheetData>
  <autoFilter ref="A3:Q57" xr:uid="{00000000-0009-0000-0000-000007000000}"/>
  <mergeCells count="2">
    <mergeCell ref="A1:N1"/>
    <mergeCell ref="A2:N2"/>
  </mergeCells>
  <pageMargins left="0.25" right="0.25" top="0.75" bottom="0.75" header="0.3" footer="0.3"/>
  <pageSetup scale="5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>
    <pageSetUpPr fitToPage="1"/>
  </sheetPr>
  <dimension ref="A1:R65"/>
  <sheetViews>
    <sheetView showGridLines="0" zoomScaleNormal="100" workbookViewId="0">
      <selection activeCell="M21" sqref="M21"/>
    </sheetView>
  </sheetViews>
  <sheetFormatPr defaultColWidth="11.5703125" defaultRowHeight="15" x14ac:dyDescent="0.25"/>
  <cols>
    <col min="2" max="2" width="37" bestFit="1" customWidth="1"/>
    <col min="3" max="3" width="11" customWidth="1"/>
    <col min="4" max="4" width="10" customWidth="1"/>
    <col min="5" max="5" width="11.28515625" customWidth="1"/>
    <col min="6" max="6" width="10.5703125" customWidth="1"/>
    <col min="7" max="7" width="11" customWidth="1"/>
    <col min="8" max="8" width="11.5703125" customWidth="1"/>
    <col min="9" max="14" width="11.42578125" customWidth="1"/>
    <col min="15" max="15" width="8" customWidth="1"/>
    <col min="16" max="17" width="11.42578125" customWidth="1"/>
    <col min="18" max="18" width="12.5703125" style="55" bestFit="1" customWidth="1"/>
  </cols>
  <sheetData>
    <row r="1" spans="1:17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x14ac:dyDescent="0.25">
      <c r="A2" s="132" t="s">
        <v>84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7" ht="60" x14ac:dyDescent="0.25">
      <c r="A3" s="1"/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3"/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2" t="s">
        <v>11</v>
      </c>
      <c r="N3" s="2" t="s">
        <v>12</v>
      </c>
      <c r="O3" s="32" t="s">
        <v>46</v>
      </c>
      <c r="P3" s="2" t="s">
        <v>51</v>
      </c>
      <c r="Q3" s="35" t="s">
        <v>52</v>
      </c>
    </row>
    <row r="4" spans="1:17" hidden="1" x14ac:dyDescent="0.25">
      <c r="A4" s="70">
        <v>4</v>
      </c>
      <c r="B4" s="71" t="s">
        <v>13</v>
      </c>
      <c r="C4" s="72">
        <v>0</v>
      </c>
      <c r="D4" s="72">
        <v>419.88</v>
      </c>
      <c r="E4" s="73">
        <v>0</v>
      </c>
      <c r="F4" s="73">
        <v>0</v>
      </c>
      <c r="G4" s="74">
        <v>0</v>
      </c>
      <c r="H4" s="75">
        <v>0</v>
      </c>
      <c r="I4" s="76">
        <v>0</v>
      </c>
      <c r="J4" s="76">
        <v>0</v>
      </c>
      <c r="K4" s="77">
        <v>0</v>
      </c>
      <c r="L4" s="78"/>
      <c r="M4" s="79"/>
      <c r="N4" s="80">
        <f t="shared" ref="N4:N57" si="0">H4+M4</f>
        <v>0</v>
      </c>
      <c r="O4" s="81" t="s">
        <v>48</v>
      </c>
      <c r="P4" s="82">
        <f t="shared" ref="P4:P57" si="1">+M4*0.1</f>
        <v>0</v>
      </c>
      <c r="Q4" s="82">
        <f t="shared" ref="Q4:Q57" si="2">+P4*1.08</f>
        <v>0</v>
      </c>
    </row>
    <row r="5" spans="1:17" x14ac:dyDescent="0.25">
      <c r="A5" s="5">
        <v>6</v>
      </c>
      <c r="B5" s="6" t="s">
        <v>14</v>
      </c>
      <c r="C5" s="7">
        <v>4000</v>
      </c>
      <c r="D5" s="7">
        <v>419.88</v>
      </c>
      <c r="E5" s="8">
        <f t="shared" ref="E5:E57" si="3">D5*6</f>
        <v>2519.2799999999997</v>
      </c>
      <c r="F5" s="8">
        <f t="shared" ref="F5:F36" si="4">$D$4</f>
        <v>419.88</v>
      </c>
      <c r="G5" s="9">
        <f t="shared" ref="G5:G57" si="5">E5+F5</f>
        <v>2939.16</v>
      </c>
      <c r="H5" s="37">
        <v>3354.4</v>
      </c>
      <c r="I5" s="10">
        <v>375</v>
      </c>
      <c r="J5" s="10">
        <v>0</v>
      </c>
      <c r="K5" s="11"/>
      <c r="L5" s="12"/>
      <c r="M5" s="13">
        <f>C5-H5-I5+L5-K5-J5</f>
        <v>270.59999999999991</v>
      </c>
      <c r="N5" s="14">
        <f t="shared" si="0"/>
        <v>3625</v>
      </c>
      <c r="O5" s="29" t="s">
        <v>47</v>
      </c>
      <c r="P5" s="33">
        <f t="shared" si="1"/>
        <v>27.059999999999992</v>
      </c>
      <c r="Q5" s="33">
        <f t="shared" si="2"/>
        <v>29.224799999999991</v>
      </c>
    </row>
    <row r="6" spans="1:17" x14ac:dyDescent="0.25">
      <c r="A6" s="36">
        <v>14</v>
      </c>
      <c r="B6" s="6" t="s">
        <v>15</v>
      </c>
      <c r="C6" s="7">
        <v>15000</v>
      </c>
      <c r="D6" s="7">
        <v>419.88</v>
      </c>
      <c r="E6" s="8">
        <f t="shared" si="3"/>
        <v>2519.2799999999997</v>
      </c>
      <c r="F6" s="8">
        <f t="shared" si="4"/>
        <v>419.88</v>
      </c>
      <c r="G6" s="9">
        <f t="shared" si="5"/>
        <v>2939.16</v>
      </c>
      <c r="H6" s="38">
        <v>3354.4</v>
      </c>
      <c r="I6" s="18">
        <v>75</v>
      </c>
      <c r="J6" s="18">
        <v>140</v>
      </c>
      <c r="K6" s="11"/>
      <c r="L6" s="12"/>
      <c r="M6" s="13">
        <f t="shared" ref="M6:M56" si="6">C6-H6-I6+L6-K6-J6</f>
        <v>11430.6</v>
      </c>
      <c r="N6" s="14">
        <f t="shared" si="0"/>
        <v>14785</v>
      </c>
      <c r="O6" s="30" t="s">
        <v>47</v>
      </c>
      <c r="P6" s="33">
        <f t="shared" si="1"/>
        <v>1143.0600000000002</v>
      </c>
      <c r="Q6" s="33">
        <f t="shared" si="2"/>
        <v>1234.5048000000002</v>
      </c>
    </row>
    <row r="7" spans="1:17" ht="15" customHeight="1" x14ac:dyDescent="0.25">
      <c r="A7" s="36">
        <v>24</v>
      </c>
      <c r="B7" s="6" t="s">
        <v>16</v>
      </c>
      <c r="C7" s="7">
        <v>4000</v>
      </c>
      <c r="D7" s="7">
        <v>419.88</v>
      </c>
      <c r="E7" s="8">
        <f t="shared" si="3"/>
        <v>2519.2799999999997</v>
      </c>
      <c r="F7" s="8">
        <f t="shared" si="4"/>
        <v>419.88</v>
      </c>
      <c r="G7" s="9">
        <f t="shared" si="5"/>
        <v>2939.16</v>
      </c>
      <c r="H7" s="38">
        <v>3354.4</v>
      </c>
      <c r="I7" s="10">
        <v>150</v>
      </c>
      <c r="J7" s="10">
        <v>105</v>
      </c>
      <c r="K7" s="21"/>
      <c r="L7" s="12"/>
      <c r="M7" s="13">
        <f t="shared" si="6"/>
        <v>390.59999999999991</v>
      </c>
      <c r="N7" s="14">
        <f t="shared" si="0"/>
        <v>3745</v>
      </c>
      <c r="O7" s="36" t="s">
        <v>47</v>
      </c>
      <c r="P7" s="33">
        <f t="shared" si="1"/>
        <v>39.059999999999995</v>
      </c>
      <c r="Q7" s="33">
        <f t="shared" si="2"/>
        <v>42.184799999999996</v>
      </c>
    </row>
    <row r="8" spans="1:17" x14ac:dyDescent="0.25">
      <c r="A8" s="36">
        <v>43</v>
      </c>
      <c r="B8" s="6" t="s">
        <v>17</v>
      </c>
      <c r="C8" s="7">
        <v>4500</v>
      </c>
      <c r="D8" s="7">
        <v>419.88</v>
      </c>
      <c r="E8" s="8">
        <f t="shared" si="3"/>
        <v>2519.2799999999997</v>
      </c>
      <c r="F8" s="8">
        <f t="shared" si="4"/>
        <v>419.88</v>
      </c>
      <c r="G8" s="9">
        <f t="shared" si="5"/>
        <v>2939.16</v>
      </c>
      <c r="H8" s="37">
        <v>3354.2</v>
      </c>
      <c r="I8" s="10">
        <v>375</v>
      </c>
      <c r="J8" s="10">
        <v>70</v>
      </c>
      <c r="K8" s="11"/>
      <c r="L8" s="12"/>
      <c r="M8" s="13">
        <f t="shared" si="6"/>
        <v>700.80000000000018</v>
      </c>
      <c r="N8" s="14">
        <f t="shared" si="0"/>
        <v>4055</v>
      </c>
      <c r="O8" s="30" t="s">
        <v>47</v>
      </c>
      <c r="P8" s="33">
        <f t="shared" si="1"/>
        <v>70.080000000000027</v>
      </c>
      <c r="Q8" s="33">
        <f t="shared" si="2"/>
        <v>75.686400000000035</v>
      </c>
    </row>
    <row r="9" spans="1:17" ht="15.6" customHeight="1" x14ac:dyDescent="0.25">
      <c r="A9" s="36">
        <v>52</v>
      </c>
      <c r="B9" s="6" t="s">
        <v>18</v>
      </c>
      <c r="C9" s="7">
        <v>4000</v>
      </c>
      <c r="D9" s="7">
        <v>419.88</v>
      </c>
      <c r="E9" s="8">
        <f t="shared" si="3"/>
        <v>2519.2799999999997</v>
      </c>
      <c r="F9" s="8">
        <f t="shared" si="4"/>
        <v>419.88</v>
      </c>
      <c r="G9" s="9">
        <f t="shared" si="5"/>
        <v>2939.16</v>
      </c>
      <c r="H9" s="37">
        <v>2621.4</v>
      </c>
      <c r="I9" s="10">
        <v>225</v>
      </c>
      <c r="J9" s="10">
        <v>140</v>
      </c>
      <c r="K9" s="16">
        <v>845.58</v>
      </c>
      <c r="L9" s="19"/>
      <c r="M9" s="13">
        <f>C9-H9-I9+L9-K9-J9</f>
        <v>168.01999999999987</v>
      </c>
      <c r="N9" s="14">
        <f t="shared" si="0"/>
        <v>2789.42</v>
      </c>
      <c r="O9" s="30" t="s">
        <v>47</v>
      </c>
      <c r="P9" s="33">
        <f t="shared" si="1"/>
        <v>16.801999999999989</v>
      </c>
      <c r="Q9" s="33">
        <f t="shared" si="2"/>
        <v>18.146159999999988</v>
      </c>
    </row>
    <row r="10" spans="1:17" x14ac:dyDescent="0.25">
      <c r="A10" s="5">
        <v>62</v>
      </c>
      <c r="B10" s="17" t="s">
        <v>19</v>
      </c>
      <c r="C10" s="7">
        <v>4000</v>
      </c>
      <c r="D10" s="7">
        <v>419.88</v>
      </c>
      <c r="E10" s="8">
        <f t="shared" si="3"/>
        <v>2519.2799999999997</v>
      </c>
      <c r="F10" s="8">
        <f t="shared" si="4"/>
        <v>419.88</v>
      </c>
      <c r="G10" s="9">
        <f t="shared" si="5"/>
        <v>2939.16</v>
      </c>
      <c r="H10" s="37">
        <v>3354.4</v>
      </c>
      <c r="I10" s="10">
        <v>0</v>
      </c>
      <c r="J10" s="10">
        <v>0</v>
      </c>
      <c r="K10" s="20"/>
      <c r="L10" s="19"/>
      <c r="M10" s="13">
        <f t="shared" si="6"/>
        <v>645.59999999999991</v>
      </c>
      <c r="N10" s="14">
        <f t="shared" si="0"/>
        <v>4000</v>
      </c>
      <c r="O10" s="30" t="s">
        <v>49</v>
      </c>
      <c r="P10" s="33">
        <f t="shared" si="1"/>
        <v>64.559999999999988</v>
      </c>
      <c r="Q10" s="33">
        <f t="shared" si="2"/>
        <v>69.724799999999988</v>
      </c>
    </row>
    <row r="11" spans="1:17" x14ac:dyDescent="0.25">
      <c r="A11" s="5">
        <v>109</v>
      </c>
      <c r="B11" s="17" t="s">
        <v>20</v>
      </c>
      <c r="C11" s="7">
        <v>7000</v>
      </c>
      <c r="D11" s="7">
        <v>419.88</v>
      </c>
      <c r="E11" s="8">
        <f t="shared" si="3"/>
        <v>2519.2799999999997</v>
      </c>
      <c r="F11" s="8">
        <f t="shared" si="4"/>
        <v>419.88</v>
      </c>
      <c r="G11" s="9">
        <f t="shared" si="5"/>
        <v>2939.16</v>
      </c>
      <c r="H11" s="37">
        <v>3354.4</v>
      </c>
      <c r="I11" s="10">
        <v>225</v>
      </c>
      <c r="J11" s="10">
        <v>35</v>
      </c>
      <c r="K11" s="11"/>
      <c r="L11" s="12"/>
      <c r="M11" s="13">
        <f>C11-H11-I11+L11-K11-J11</f>
        <v>3385.6</v>
      </c>
      <c r="N11" s="14">
        <f t="shared" si="0"/>
        <v>6740</v>
      </c>
      <c r="O11" s="30" t="s">
        <v>47</v>
      </c>
      <c r="P11" s="33">
        <f t="shared" si="1"/>
        <v>338.56</v>
      </c>
      <c r="Q11" s="33">
        <f t="shared" si="2"/>
        <v>365.64480000000003</v>
      </c>
    </row>
    <row r="12" spans="1:17" x14ac:dyDescent="0.25">
      <c r="A12" s="5">
        <v>114</v>
      </c>
      <c r="B12" s="17" t="s">
        <v>21</v>
      </c>
      <c r="C12" s="7">
        <v>5000</v>
      </c>
      <c r="D12" s="7">
        <v>419.88</v>
      </c>
      <c r="E12" s="8">
        <f t="shared" si="3"/>
        <v>2519.2799999999997</v>
      </c>
      <c r="F12" s="8">
        <f t="shared" si="4"/>
        <v>419.88</v>
      </c>
      <c r="G12" s="9">
        <f t="shared" si="5"/>
        <v>2939.16</v>
      </c>
      <c r="H12" s="37">
        <v>3354.4</v>
      </c>
      <c r="I12" s="10">
        <v>150</v>
      </c>
      <c r="J12" s="10">
        <v>105</v>
      </c>
      <c r="K12" s="21"/>
      <c r="L12" s="12"/>
      <c r="M12" s="13">
        <f>C12-H12-I12+L12-K12-J12</f>
        <v>1390.6</v>
      </c>
      <c r="N12" s="14">
        <f t="shared" si="0"/>
        <v>4745</v>
      </c>
      <c r="O12" s="30" t="s">
        <v>47</v>
      </c>
      <c r="P12" s="33">
        <f t="shared" si="1"/>
        <v>139.06</v>
      </c>
      <c r="Q12" s="33">
        <f t="shared" si="2"/>
        <v>150.18480000000002</v>
      </c>
    </row>
    <row r="13" spans="1:17" x14ac:dyDescent="0.25">
      <c r="A13" s="5">
        <v>131</v>
      </c>
      <c r="B13" s="17" t="s">
        <v>22</v>
      </c>
      <c r="C13" s="7">
        <v>3500</v>
      </c>
      <c r="D13" s="7">
        <v>419.88</v>
      </c>
      <c r="E13" s="8">
        <f t="shared" si="3"/>
        <v>2519.2799999999997</v>
      </c>
      <c r="F13" s="8">
        <f t="shared" si="4"/>
        <v>419.88</v>
      </c>
      <c r="G13" s="9">
        <f t="shared" si="5"/>
        <v>2939.16</v>
      </c>
      <c r="H13" s="37">
        <v>3210</v>
      </c>
      <c r="I13" s="10">
        <v>150</v>
      </c>
      <c r="J13" s="10">
        <v>140</v>
      </c>
      <c r="K13" s="21"/>
      <c r="L13" s="12"/>
      <c r="M13" s="13">
        <f>C13-H13-I13+L13-K13-J13</f>
        <v>0</v>
      </c>
      <c r="N13" s="14">
        <f t="shared" si="0"/>
        <v>3210</v>
      </c>
      <c r="O13" s="30" t="s">
        <v>47</v>
      </c>
      <c r="P13" s="33">
        <f t="shared" si="1"/>
        <v>0</v>
      </c>
      <c r="Q13" s="33">
        <f t="shared" si="2"/>
        <v>0</v>
      </c>
    </row>
    <row r="14" spans="1:17" x14ac:dyDescent="0.25">
      <c r="A14" s="36">
        <v>149</v>
      </c>
      <c r="B14" s="6" t="s">
        <v>23</v>
      </c>
      <c r="C14" s="7">
        <v>3500</v>
      </c>
      <c r="D14" s="7">
        <v>419.88</v>
      </c>
      <c r="E14" s="8">
        <f t="shared" si="3"/>
        <v>2519.2799999999997</v>
      </c>
      <c r="F14" s="8">
        <f t="shared" si="4"/>
        <v>419.88</v>
      </c>
      <c r="G14" s="9">
        <f t="shared" si="5"/>
        <v>2939.16</v>
      </c>
      <c r="H14" s="38">
        <v>2916.8</v>
      </c>
      <c r="I14" s="10">
        <v>150</v>
      </c>
      <c r="J14" s="10">
        <v>140</v>
      </c>
      <c r="K14" s="21">
        <v>293.92</v>
      </c>
      <c r="L14" s="12"/>
      <c r="M14" s="69">
        <f>C14-H14-I14+L14-K14-J14+0.72</f>
        <v>-1.978417429882029E-13</v>
      </c>
      <c r="N14" s="14">
        <f t="shared" si="0"/>
        <v>2916.8</v>
      </c>
      <c r="O14" s="36" t="s">
        <v>47</v>
      </c>
      <c r="P14" s="33">
        <f t="shared" si="1"/>
        <v>-1.9784174298820291E-14</v>
      </c>
      <c r="Q14" s="33">
        <f t="shared" si="2"/>
        <v>-2.1366908242725915E-14</v>
      </c>
    </row>
    <row r="15" spans="1:17" x14ac:dyDescent="0.25">
      <c r="A15" s="5">
        <v>150</v>
      </c>
      <c r="B15" s="6" t="s">
        <v>24</v>
      </c>
      <c r="C15" s="7">
        <v>4000</v>
      </c>
      <c r="D15" s="7">
        <v>419.88</v>
      </c>
      <c r="E15" s="8">
        <f t="shared" si="3"/>
        <v>2519.2799999999997</v>
      </c>
      <c r="F15" s="8">
        <f t="shared" si="4"/>
        <v>419.88</v>
      </c>
      <c r="G15" s="9">
        <f t="shared" si="5"/>
        <v>2939.16</v>
      </c>
      <c r="H15" s="37">
        <v>2001</v>
      </c>
      <c r="I15" s="10">
        <v>0</v>
      </c>
      <c r="J15" s="10">
        <v>35</v>
      </c>
      <c r="K15" s="11">
        <v>1714.28</v>
      </c>
      <c r="L15" s="12"/>
      <c r="M15" s="13">
        <f t="shared" si="6"/>
        <v>249.72000000000003</v>
      </c>
      <c r="N15" s="14">
        <f t="shared" si="0"/>
        <v>2250.7200000000003</v>
      </c>
      <c r="O15" s="30" t="s">
        <v>47</v>
      </c>
      <c r="P15" s="33">
        <f t="shared" si="1"/>
        <v>24.972000000000005</v>
      </c>
      <c r="Q15" s="33">
        <f t="shared" si="2"/>
        <v>26.969760000000008</v>
      </c>
    </row>
    <row r="16" spans="1:17" x14ac:dyDescent="0.25">
      <c r="A16" s="5">
        <v>151</v>
      </c>
      <c r="B16" s="6" t="s">
        <v>25</v>
      </c>
      <c r="C16" s="7">
        <v>3500</v>
      </c>
      <c r="D16" s="7">
        <v>419.88</v>
      </c>
      <c r="E16" s="8">
        <f t="shared" si="3"/>
        <v>2519.2799999999997</v>
      </c>
      <c r="F16" s="8">
        <f t="shared" si="4"/>
        <v>419.88</v>
      </c>
      <c r="G16" s="9">
        <f t="shared" si="5"/>
        <v>2939.16</v>
      </c>
      <c r="H16" s="37">
        <v>3101.4</v>
      </c>
      <c r="I16" s="10">
        <v>0</v>
      </c>
      <c r="J16" s="10">
        <v>105</v>
      </c>
      <c r="K16" s="21">
        <v>293.92</v>
      </c>
      <c r="L16" s="12"/>
      <c r="M16" s="69">
        <f>C16-H16-I16+L16-K16-J16+0.32</f>
        <v>-1.0685896612017132E-13</v>
      </c>
      <c r="N16" s="14">
        <f t="shared" si="0"/>
        <v>3101.4</v>
      </c>
      <c r="O16" s="29" t="s">
        <v>47</v>
      </c>
      <c r="P16" s="33">
        <f t="shared" si="1"/>
        <v>-1.0685896612017132E-14</v>
      </c>
      <c r="Q16" s="33">
        <f t="shared" si="2"/>
        <v>-1.1540768340978503E-14</v>
      </c>
    </row>
    <row r="17" spans="1:17" x14ac:dyDescent="0.25">
      <c r="A17" s="5">
        <v>156</v>
      </c>
      <c r="B17" s="6" t="s">
        <v>26</v>
      </c>
      <c r="C17" s="7">
        <v>4000</v>
      </c>
      <c r="D17" s="7">
        <v>419.88</v>
      </c>
      <c r="E17" s="8">
        <f t="shared" si="3"/>
        <v>2519.2799999999997</v>
      </c>
      <c r="F17" s="8">
        <f t="shared" si="4"/>
        <v>419.88</v>
      </c>
      <c r="G17" s="9">
        <f t="shared" si="5"/>
        <v>2939.16</v>
      </c>
      <c r="H17" s="37">
        <v>3354.2</v>
      </c>
      <c r="I17" s="10">
        <v>0</v>
      </c>
      <c r="J17" s="10">
        <v>0</v>
      </c>
      <c r="K17" s="21"/>
      <c r="L17" s="19"/>
      <c r="M17" s="13">
        <f t="shared" si="6"/>
        <v>645.80000000000018</v>
      </c>
      <c r="N17" s="14">
        <f t="shared" si="0"/>
        <v>4000</v>
      </c>
      <c r="O17" s="29" t="s">
        <v>47</v>
      </c>
      <c r="P17" s="33">
        <f t="shared" si="1"/>
        <v>64.580000000000027</v>
      </c>
      <c r="Q17" s="33">
        <f t="shared" si="2"/>
        <v>69.746400000000037</v>
      </c>
    </row>
    <row r="18" spans="1:17" x14ac:dyDescent="0.25">
      <c r="A18" s="5">
        <v>162</v>
      </c>
      <c r="B18" s="6" t="s">
        <v>27</v>
      </c>
      <c r="C18" s="7">
        <v>4000</v>
      </c>
      <c r="D18" s="7">
        <v>419.88</v>
      </c>
      <c r="E18" s="8">
        <f t="shared" si="3"/>
        <v>2519.2799999999997</v>
      </c>
      <c r="F18" s="8">
        <f t="shared" si="4"/>
        <v>419.88</v>
      </c>
      <c r="G18" s="9">
        <f t="shared" si="5"/>
        <v>2939.16</v>
      </c>
      <c r="H18" s="37">
        <v>3354.2</v>
      </c>
      <c r="I18" s="10">
        <v>375</v>
      </c>
      <c r="J18" s="10">
        <v>70</v>
      </c>
      <c r="K18" s="21"/>
      <c r="L18" s="12"/>
      <c r="M18" s="13">
        <f t="shared" si="6"/>
        <v>200.80000000000018</v>
      </c>
      <c r="N18" s="14">
        <f t="shared" si="0"/>
        <v>3555</v>
      </c>
      <c r="O18" s="29" t="s">
        <v>47</v>
      </c>
      <c r="P18" s="33">
        <f t="shared" si="1"/>
        <v>20.08000000000002</v>
      </c>
      <c r="Q18" s="33">
        <f t="shared" si="2"/>
        <v>21.686400000000024</v>
      </c>
    </row>
    <row r="19" spans="1:17" x14ac:dyDescent="0.25">
      <c r="A19" s="5">
        <v>174</v>
      </c>
      <c r="B19" s="6" t="s">
        <v>28</v>
      </c>
      <c r="C19" s="7">
        <v>10000</v>
      </c>
      <c r="D19" s="7">
        <v>419.88</v>
      </c>
      <c r="E19" s="8">
        <f t="shared" si="3"/>
        <v>2519.2799999999997</v>
      </c>
      <c r="F19" s="8">
        <f t="shared" si="4"/>
        <v>419.88</v>
      </c>
      <c r="G19" s="9">
        <f t="shared" si="5"/>
        <v>2939.16</v>
      </c>
      <c r="H19" s="37">
        <v>2354</v>
      </c>
      <c r="I19" s="10">
        <v>0</v>
      </c>
      <c r="J19" s="10">
        <v>0</v>
      </c>
      <c r="K19" s="16">
        <v>930.02</v>
      </c>
      <c r="L19" s="19"/>
      <c r="M19" s="13">
        <f t="shared" si="6"/>
        <v>6715.98</v>
      </c>
      <c r="N19" s="14">
        <f t="shared" si="0"/>
        <v>9069.98</v>
      </c>
      <c r="O19" s="29" t="s">
        <v>50</v>
      </c>
      <c r="P19" s="33">
        <f t="shared" si="1"/>
        <v>671.59799999999996</v>
      </c>
      <c r="Q19" s="33">
        <f t="shared" si="2"/>
        <v>725.32583999999997</v>
      </c>
    </row>
    <row r="20" spans="1:17" x14ac:dyDescent="0.25">
      <c r="A20" s="5">
        <v>184</v>
      </c>
      <c r="B20" s="6" t="s">
        <v>29</v>
      </c>
      <c r="C20" s="7">
        <v>7000</v>
      </c>
      <c r="D20" s="7">
        <v>419.88</v>
      </c>
      <c r="E20" s="8">
        <f t="shared" si="3"/>
        <v>2519.2799999999997</v>
      </c>
      <c r="F20" s="8">
        <f t="shared" si="4"/>
        <v>419.88</v>
      </c>
      <c r="G20" s="9">
        <f t="shared" si="5"/>
        <v>2939.16</v>
      </c>
      <c r="H20" s="37">
        <v>3354.2</v>
      </c>
      <c r="I20" s="10">
        <v>375</v>
      </c>
      <c r="J20" s="10">
        <v>175</v>
      </c>
      <c r="K20" s="21"/>
      <c r="L20" s="19"/>
      <c r="M20" s="13">
        <f t="shared" si="6"/>
        <v>3095.8</v>
      </c>
      <c r="N20" s="14">
        <f t="shared" si="0"/>
        <v>6450</v>
      </c>
      <c r="O20" s="29" t="s">
        <v>47</v>
      </c>
      <c r="P20" s="33">
        <f t="shared" si="1"/>
        <v>309.58000000000004</v>
      </c>
      <c r="Q20" s="33">
        <f t="shared" si="2"/>
        <v>334.34640000000007</v>
      </c>
    </row>
    <row r="21" spans="1:17" s="55" customFormat="1" x14ac:dyDescent="0.25">
      <c r="A21" s="5">
        <v>199</v>
      </c>
      <c r="B21" s="6" t="s">
        <v>31</v>
      </c>
      <c r="C21" s="7">
        <v>4000</v>
      </c>
      <c r="D21" s="7">
        <v>419.88</v>
      </c>
      <c r="E21" s="8">
        <f t="shared" si="3"/>
        <v>2519.2799999999997</v>
      </c>
      <c r="F21" s="8">
        <f t="shared" si="4"/>
        <v>419.88</v>
      </c>
      <c r="G21" s="9">
        <f t="shared" si="5"/>
        <v>2939.16</v>
      </c>
      <c r="H21" s="37">
        <v>3354.2</v>
      </c>
      <c r="I21" s="10">
        <v>0</v>
      </c>
      <c r="J21" s="10">
        <v>0</v>
      </c>
      <c r="K21" s="16">
        <v>500</v>
      </c>
      <c r="L21" s="19"/>
      <c r="M21" s="13">
        <f t="shared" si="6"/>
        <v>145.80000000000018</v>
      </c>
      <c r="N21" s="14">
        <f t="shared" si="0"/>
        <v>3500</v>
      </c>
      <c r="O21" s="29" t="s">
        <v>47</v>
      </c>
      <c r="P21" s="33">
        <f t="shared" si="1"/>
        <v>14.58000000000002</v>
      </c>
      <c r="Q21" s="33">
        <f t="shared" si="2"/>
        <v>15.746400000000023</v>
      </c>
    </row>
    <row r="22" spans="1:17" s="55" customFormat="1" ht="13.5" customHeight="1" x14ac:dyDescent="0.25">
      <c r="A22" s="5">
        <v>204</v>
      </c>
      <c r="B22" s="6" t="s">
        <v>33</v>
      </c>
      <c r="C22" s="7">
        <v>4000</v>
      </c>
      <c r="D22" s="7">
        <v>419.88</v>
      </c>
      <c r="E22" s="8">
        <f t="shared" si="3"/>
        <v>2519.2799999999997</v>
      </c>
      <c r="F22" s="8">
        <f t="shared" si="4"/>
        <v>419.88</v>
      </c>
      <c r="G22" s="9">
        <f t="shared" si="5"/>
        <v>2939.16</v>
      </c>
      <c r="H22" s="37">
        <v>3354.2</v>
      </c>
      <c r="I22" s="10">
        <v>150</v>
      </c>
      <c r="J22" s="10">
        <v>70</v>
      </c>
      <c r="K22" s="11"/>
      <c r="L22" s="19"/>
      <c r="M22" s="13">
        <f t="shared" si="6"/>
        <v>425.80000000000018</v>
      </c>
      <c r="N22" s="14">
        <f t="shared" si="0"/>
        <v>3780</v>
      </c>
      <c r="O22" s="29" t="s">
        <v>47</v>
      </c>
      <c r="P22" s="33">
        <f t="shared" si="1"/>
        <v>42.58000000000002</v>
      </c>
      <c r="Q22" s="33">
        <f t="shared" si="2"/>
        <v>45.986400000000025</v>
      </c>
    </row>
    <row r="23" spans="1:17" s="55" customFormat="1" x14ac:dyDescent="0.25">
      <c r="A23" s="5">
        <v>213</v>
      </c>
      <c r="B23" s="6" t="s">
        <v>34</v>
      </c>
      <c r="C23" s="7">
        <v>4000</v>
      </c>
      <c r="D23" s="7">
        <v>419.88</v>
      </c>
      <c r="E23" s="8">
        <f t="shared" si="3"/>
        <v>2519.2799999999997</v>
      </c>
      <c r="F23" s="8">
        <f t="shared" si="4"/>
        <v>419.88</v>
      </c>
      <c r="G23" s="9">
        <f t="shared" si="5"/>
        <v>2939.16</v>
      </c>
      <c r="H23" s="37">
        <v>2848</v>
      </c>
      <c r="I23" s="10">
        <v>0</v>
      </c>
      <c r="J23" s="10">
        <v>0</v>
      </c>
      <c r="K23" s="16">
        <v>506.38</v>
      </c>
      <c r="L23" s="19"/>
      <c r="M23" s="13">
        <f t="shared" si="6"/>
        <v>645.62</v>
      </c>
      <c r="N23" s="14">
        <f t="shared" si="0"/>
        <v>3493.62</v>
      </c>
      <c r="O23" s="29" t="s">
        <v>50</v>
      </c>
      <c r="P23" s="33">
        <f t="shared" si="1"/>
        <v>64.561999999999998</v>
      </c>
      <c r="Q23" s="33">
        <f t="shared" si="2"/>
        <v>69.726960000000005</v>
      </c>
    </row>
    <row r="24" spans="1:17" s="55" customFormat="1" x14ac:dyDescent="0.25">
      <c r="A24" s="5">
        <v>215</v>
      </c>
      <c r="B24" s="6" t="s">
        <v>35</v>
      </c>
      <c r="C24" s="7">
        <v>5000</v>
      </c>
      <c r="D24" s="7">
        <v>419.88</v>
      </c>
      <c r="E24" s="8">
        <f t="shared" si="3"/>
        <v>2519.2799999999997</v>
      </c>
      <c r="F24" s="8">
        <f t="shared" si="4"/>
        <v>419.88</v>
      </c>
      <c r="G24" s="9">
        <f t="shared" si="5"/>
        <v>2939.16</v>
      </c>
      <c r="H24" s="37">
        <v>3354.4</v>
      </c>
      <c r="I24" s="10">
        <v>375</v>
      </c>
      <c r="J24" s="10">
        <v>70</v>
      </c>
      <c r="K24" s="21"/>
      <c r="L24" s="19"/>
      <c r="M24" s="13">
        <f t="shared" si="6"/>
        <v>1200.5999999999999</v>
      </c>
      <c r="N24" s="14">
        <f t="shared" si="0"/>
        <v>4555</v>
      </c>
      <c r="O24" s="29" t="s">
        <v>47</v>
      </c>
      <c r="P24" s="33">
        <f t="shared" si="1"/>
        <v>120.06</v>
      </c>
      <c r="Q24" s="33">
        <f t="shared" si="2"/>
        <v>129.66480000000001</v>
      </c>
    </row>
    <row r="25" spans="1:17" s="55" customFormat="1" x14ac:dyDescent="0.25">
      <c r="A25" s="5">
        <v>218</v>
      </c>
      <c r="B25" s="6" t="s">
        <v>36</v>
      </c>
      <c r="C25" s="7">
        <v>3500</v>
      </c>
      <c r="D25" s="7">
        <v>419.88</v>
      </c>
      <c r="E25" s="8">
        <f t="shared" si="3"/>
        <v>2519.2799999999997</v>
      </c>
      <c r="F25" s="8">
        <f t="shared" si="4"/>
        <v>419.88</v>
      </c>
      <c r="G25" s="9">
        <f t="shared" si="5"/>
        <v>2939.16</v>
      </c>
      <c r="H25" s="37">
        <v>3354.4</v>
      </c>
      <c r="I25" s="10">
        <v>0</v>
      </c>
      <c r="J25" s="10">
        <v>0</v>
      </c>
      <c r="K25" s="21"/>
      <c r="L25" s="12"/>
      <c r="M25" s="13">
        <f t="shared" si="6"/>
        <v>145.59999999999991</v>
      </c>
      <c r="N25" s="14">
        <f t="shared" si="0"/>
        <v>3500</v>
      </c>
      <c r="O25" s="29" t="s">
        <v>49</v>
      </c>
      <c r="P25" s="33">
        <f t="shared" si="1"/>
        <v>14.559999999999992</v>
      </c>
      <c r="Q25" s="33">
        <f t="shared" si="2"/>
        <v>15.724799999999991</v>
      </c>
    </row>
    <row r="26" spans="1:17" s="55" customFormat="1" x14ac:dyDescent="0.25">
      <c r="A26" s="36">
        <v>220</v>
      </c>
      <c r="B26" s="6" t="s">
        <v>37</v>
      </c>
      <c r="C26" s="7">
        <v>4000</v>
      </c>
      <c r="D26" s="7">
        <v>419.88</v>
      </c>
      <c r="E26" s="8">
        <f t="shared" si="3"/>
        <v>2519.2799999999997</v>
      </c>
      <c r="F26" s="8">
        <f t="shared" si="4"/>
        <v>419.88</v>
      </c>
      <c r="G26" s="9">
        <f t="shared" si="5"/>
        <v>2939.16</v>
      </c>
      <c r="H26" s="38">
        <v>3354.4</v>
      </c>
      <c r="I26" s="10">
        <v>375</v>
      </c>
      <c r="J26" s="10">
        <v>175</v>
      </c>
      <c r="K26" s="21"/>
      <c r="L26" s="12"/>
      <c r="M26" s="13">
        <f t="shared" si="6"/>
        <v>95.599999999999909</v>
      </c>
      <c r="N26" s="14">
        <f t="shared" si="0"/>
        <v>3450</v>
      </c>
      <c r="O26" s="36" t="s">
        <v>47</v>
      </c>
      <c r="P26" s="33">
        <f t="shared" si="1"/>
        <v>9.5599999999999916</v>
      </c>
      <c r="Q26" s="33">
        <f t="shared" si="2"/>
        <v>10.324799999999991</v>
      </c>
    </row>
    <row r="27" spans="1:17" s="55" customFormat="1" x14ac:dyDescent="0.25">
      <c r="A27" s="5">
        <v>221</v>
      </c>
      <c r="B27" s="6" t="s">
        <v>38</v>
      </c>
      <c r="C27" s="7">
        <v>4000</v>
      </c>
      <c r="D27" s="7">
        <v>419.88</v>
      </c>
      <c r="E27" s="8">
        <f t="shared" si="3"/>
        <v>2519.2799999999997</v>
      </c>
      <c r="F27" s="8">
        <f t="shared" si="4"/>
        <v>419.88</v>
      </c>
      <c r="G27" s="9">
        <f t="shared" si="5"/>
        <v>2939.16</v>
      </c>
      <c r="H27" s="37">
        <v>3354.2</v>
      </c>
      <c r="I27" s="10">
        <v>375</v>
      </c>
      <c r="J27" s="10">
        <v>0</v>
      </c>
      <c r="K27" s="21"/>
      <c r="L27" s="12"/>
      <c r="M27" s="13">
        <f t="shared" si="6"/>
        <v>270.80000000000018</v>
      </c>
      <c r="N27" s="14">
        <f t="shared" si="0"/>
        <v>3625</v>
      </c>
      <c r="O27" s="29" t="s">
        <v>47</v>
      </c>
      <c r="P27" s="33">
        <f t="shared" si="1"/>
        <v>27.08000000000002</v>
      </c>
      <c r="Q27" s="33">
        <f t="shared" si="2"/>
        <v>29.246400000000023</v>
      </c>
    </row>
    <row r="28" spans="1:17" s="55" customFormat="1" x14ac:dyDescent="0.25">
      <c r="A28" s="5">
        <v>222</v>
      </c>
      <c r="B28" s="6" t="s">
        <v>39</v>
      </c>
      <c r="C28" s="7">
        <v>7000</v>
      </c>
      <c r="D28" s="7">
        <v>419.88</v>
      </c>
      <c r="E28" s="8">
        <f t="shared" si="3"/>
        <v>2519.2799999999997</v>
      </c>
      <c r="F28" s="8">
        <f t="shared" si="4"/>
        <v>419.88</v>
      </c>
      <c r="G28" s="9">
        <f t="shared" si="5"/>
        <v>2939.16</v>
      </c>
      <c r="H28" s="37">
        <v>3354.4</v>
      </c>
      <c r="I28" s="10">
        <v>375</v>
      </c>
      <c r="J28" s="10">
        <v>105</v>
      </c>
      <c r="K28" s="21"/>
      <c r="L28" s="19"/>
      <c r="M28" s="13">
        <f t="shared" si="6"/>
        <v>3165.6</v>
      </c>
      <c r="N28" s="14">
        <f t="shared" si="0"/>
        <v>6520</v>
      </c>
      <c r="O28" s="29" t="s">
        <v>47</v>
      </c>
      <c r="P28" s="33">
        <f t="shared" si="1"/>
        <v>316.56</v>
      </c>
      <c r="Q28" s="33">
        <f t="shared" si="2"/>
        <v>341.88480000000004</v>
      </c>
    </row>
    <row r="29" spans="1:17" s="55" customFormat="1" x14ac:dyDescent="0.25">
      <c r="A29" s="5">
        <v>226</v>
      </c>
      <c r="B29" s="6" t="s">
        <v>40</v>
      </c>
      <c r="C29" s="7">
        <v>7500</v>
      </c>
      <c r="D29" s="7">
        <v>419.88</v>
      </c>
      <c r="E29" s="8">
        <f t="shared" si="3"/>
        <v>2519.2799999999997</v>
      </c>
      <c r="F29" s="8">
        <f t="shared" si="4"/>
        <v>419.88</v>
      </c>
      <c r="G29" s="9">
        <f t="shared" si="5"/>
        <v>2939.16</v>
      </c>
      <c r="H29" s="37">
        <v>3354.2</v>
      </c>
      <c r="I29" s="10">
        <v>300</v>
      </c>
      <c r="J29" s="10">
        <v>175</v>
      </c>
      <c r="K29" s="21"/>
      <c r="L29" s="12"/>
      <c r="M29" s="13">
        <f t="shared" si="6"/>
        <v>3670.8</v>
      </c>
      <c r="N29" s="14">
        <f t="shared" si="0"/>
        <v>7025</v>
      </c>
      <c r="O29" s="29" t="s">
        <v>47</v>
      </c>
      <c r="P29" s="33">
        <f t="shared" si="1"/>
        <v>367.08000000000004</v>
      </c>
      <c r="Q29" s="33">
        <f t="shared" si="2"/>
        <v>396.4464000000001</v>
      </c>
    </row>
    <row r="30" spans="1:17" s="55" customFormat="1" x14ac:dyDescent="0.25">
      <c r="A30" s="5">
        <v>227</v>
      </c>
      <c r="B30" s="6" t="s">
        <v>41</v>
      </c>
      <c r="C30" s="7">
        <v>6000</v>
      </c>
      <c r="D30" s="7">
        <v>419.88</v>
      </c>
      <c r="E30" s="8">
        <f t="shared" si="3"/>
        <v>2519.2799999999997</v>
      </c>
      <c r="F30" s="8">
        <f t="shared" si="4"/>
        <v>419.88</v>
      </c>
      <c r="G30" s="9">
        <f t="shared" si="5"/>
        <v>2939.16</v>
      </c>
      <c r="H30" s="37">
        <v>2879</v>
      </c>
      <c r="I30" s="10">
        <v>0</v>
      </c>
      <c r="J30" s="10">
        <v>140</v>
      </c>
      <c r="K30" s="21">
        <v>587.84</v>
      </c>
      <c r="L30" s="12"/>
      <c r="M30" s="13">
        <f t="shared" si="6"/>
        <v>2393.16</v>
      </c>
      <c r="N30" s="14">
        <f t="shared" si="0"/>
        <v>5272.16</v>
      </c>
      <c r="O30" s="29" t="s">
        <v>47</v>
      </c>
      <c r="P30" s="33">
        <f t="shared" si="1"/>
        <v>239.316</v>
      </c>
      <c r="Q30" s="33">
        <f t="shared" si="2"/>
        <v>258.46128000000004</v>
      </c>
    </row>
    <row r="31" spans="1:17" s="55" customFormat="1" x14ac:dyDescent="0.25">
      <c r="A31" s="5">
        <v>233</v>
      </c>
      <c r="B31" s="6" t="s">
        <v>42</v>
      </c>
      <c r="C31" s="7">
        <v>6250</v>
      </c>
      <c r="D31" s="7">
        <v>419.88</v>
      </c>
      <c r="E31" s="8">
        <f t="shared" si="3"/>
        <v>2519.2799999999997</v>
      </c>
      <c r="F31" s="8">
        <f t="shared" si="4"/>
        <v>419.88</v>
      </c>
      <c r="G31" s="9">
        <f t="shared" si="5"/>
        <v>2939.16</v>
      </c>
      <c r="H31" s="37">
        <v>3354.2</v>
      </c>
      <c r="I31" s="10">
        <v>375</v>
      </c>
      <c r="J31" s="10">
        <v>70</v>
      </c>
      <c r="K31" s="21"/>
      <c r="L31" s="19"/>
      <c r="M31" s="13">
        <f t="shared" si="6"/>
        <v>2450.8000000000002</v>
      </c>
      <c r="N31" s="14">
        <f t="shared" si="0"/>
        <v>5805</v>
      </c>
      <c r="O31" s="31" t="s">
        <v>47</v>
      </c>
      <c r="P31" s="33">
        <f t="shared" si="1"/>
        <v>245.08000000000004</v>
      </c>
      <c r="Q31" s="33">
        <f t="shared" si="2"/>
        <v>264.68640000000005</v>
      </c>
    </row>
    <row r="32" spans="1:17" s="55" customFormat="1" x14ac:dyDescent="0.25">
      <c r="A32" s="5">
        <v>237</v>
      </c>
      <c r="B32" s="6" t="s">
        <v>43</v>
      </c>
      <c r="C32" s="7">
        <v>5000</v>
      </c>
      <c r="D32" s="7">
        <v>419.88</v>
      </c>
      <c r="E32" s="8">
        <f t="shared" si="3"/>
        <v>2519.2799999999997</v>
      </c>
      <c r="F32" s="8">
        <f t="shared" si="4"/>
        <v>419.88</v>
      </c>
      <c r="G32" s="9">
        <f t="shared" si="5"/>
        <v>2939.16</v>
      </c>
      <c r="H32" s="37">
        <v>3354.2</v>
      </c>
      <c r="I32" s="10">
        <v>225</v>
      </c>
      <c r="J32" s="10">
        <v>35</v>
      </c>
      <c r="K32" s="21"/>
      <c r="L32" s="19"/>
      <c r="M32" s="13">
        <f>C32-H32-I32+L32-K32-J32</f>
        <v>1385.8000000000002</v>
      </c>
      <c r="N32" s="14">
        <f>H32+M32</f>
        <v>4740</v>
      </c>
      <c r="O32" s="29" t="s">
        <v>47</v>
      </c>
      <c r="P32" s="33">
        <f>+M32*0.1</f>
        <v>138.58000000000001</v>
      </c>
      <c r="Q32" s="33">
        <f t="shared" si="2"/>
        <v>149.66640000000001</v>
      </c>
    </row>
    <row r="33" spans="1:17" s="55" customFormat="1" x14ac:dyDescent="0.25">
      <c r="A33" s="5">
        <v>244</v>
      </c>
      <c r="B33" s="6" t="s">
        <v>44</v>
      </c>
      <c r="C33" s="7">
        <v>5000</v>
      </c>
      <c r="D33" s="7">
        <v>419.88</v>
      </c>
      <c r="E33" s="8">
        <f t="shared" si="3"/>
        <v>2519.2799999999997</v>
      </c>
      <c r="F33" s="8">
        <f t="shared" si="4"/>
        <v>419.88</v>
      </c>
      <c r="G33" s="9">
        <f t="shared" si="5"/>
        <v>2939.16</v>
      </c>
      <c r="H33" s="37">
        <v>3354.2</v>
      </c>
      <c r="I33" s="10">
        <v>300</v>
      </c>
      <c r="J33" s="10">
        <v>70</v>
      </c>
      <c r="K33" s="21"/>
      <c r="L33" s="12"/>
      <c r="M33" s="13">
        <f>C33-H33-I33+L33-K33-J33</f>
        <v>1275.8000000000002</v>
      </c>
      <c r="N33" s="14">
        <f t="shared" si="0"/>
        <v>4630</v>
      </c>
      <c r="O33" s="29" t="s">
        <v>47</v>
      </c>
      <c r="P33" s="33">
        <f t="shared" si="1"/>
        <v>127.58000000000003</v>
      </c>
      <c r="Q33" s="33">
        <f t="shared" si="2"/>
        <v>137.78640000000004</v>
      </c>
    </row>
    <row r="34" spans="1:17" s="55" customFormat="1" x14ac:dyDescent="0.25">
      <c r="A34" s="5">
        <v>245</v>
      </c>
      <c r="B34" s="6" t="s">
        <v>45</v>
      </c>
      <c r="C34" s="7">
        <v>5000</v>
      </c>
      <c r="D34" s="7">
        <v>419.88</v>
      </c>
      <c r="E34" s="8">
        <f t="shared" si="3"/>
        <v>2519.2799999999997</v>
      </c>
      <c r="F34" s="8">
        <f t="shared" si="4"/>
        <v>419.88</v>
      </c>
      <c r="G34" s="9">
        <f t="shared" si="5"/>
        <v>2939.16</v>
      </c>
      <c r="H34" s="37">
        <v>3354.2</v>
      </c>
      <c r="I34" s="10">
        <v>75</v>
      </c>
      <c r="J34" s="10">
        <v>0</v>
      </c>
      <c r="K34" s="21"/>
      <c r="L34" s="19"/>
      <c r="M34" s="13">
        <f t="shared" si="6"/>
        <v>1570.8000000000002</v>
      </c>
      <c r="N34" s="14">
        <f t="shared" si="0"/>
        <v>4925</v>
      </c>
      <c r="O34" s="34">
        <v>2</v>
      </c>
      <c r="P34" s="33">
        <f t="shared" si="1"/>
        <v>157.08000000000004</v>
      </c>
      <c r="Q34" s="33">
        <f t="shared" si="2"/>
        <v>169.64640000000006</v>
      </c>
    </row>
    <row r="35" spans="1:17" s="55" customFormat="1" x14ac:dyDescent="0.25">
      <c r="A35" s="5">
        <v>252</v>
      </c>
      <c r="B35" s="6" t="s">
        <v>53</v>
      </c>
      <c r="C35" s="7">
        <v>4000</v>
      </c>
      <c r="D35" s="7">
        <v>419.88</v>
      </c>
      <c r="E35" s="8">
        <f t="shared" si="3"/>
        <v>2519.2799999999997</v>
      </c>
      <c r="F35" s="8">
        <f t="shared" si="4"/>
        <v>419.88</v>
      </c>
      <c r="G35" s="9">
        <f t="shared" si="5"/>
        <v>2939.16</v>
      </c>
      <c r="H35" s="37">
        <v>3354.4</v>
      </c>
      <c r="I35" s="10">
        <v>225</v>
      </c>
      <c r="J35" s="10">
        <v>105</v>
      </c>
      <c r="K35" s="21"/>
      <c r="L35" s="19"/>
      <c r="M35" s="13">
        <f t="shared" si="6"/>
        <v>315.59999999999991</v>
      </c>
      <c r="N35" s="14">
        <f t="shared" si="0"/>
        <v>3670</v>
      </c>
      <c r="O35" s="5" t="s">
        <v>47</v>
      </c>
      <c r="P35" s="33">
        <f t="shared" si="1"/>
        <v>31.559999999999992</v>
      </c>
      <c r="Q35" s="33">
        <f t="shared" si="2"/>
        <v>34.084799999999994</v>
      </c>
    </row>
    <row r="36" spans="1:17" s="55" customFormat="1" x14ac:dyDescent="0.25">
      <c r="A36" s="5">
        <v>260</v>
      </c>
      <c r="B36" s="6" t="s">
        <v>54</v>
      </c>
      <c r="C36" s="7">
        <v>5000</v>
      </c>
      <c r="D36" s="7">
        <v>419.88</v>
      </c>
      <c r="E36" s="8">
        <f t="shared" si="3"/>
        <v>2519.2799999999997</v>
      </c>
      <c r="F36" s="8">
        <f t="shared" si="4"/>
        <v>419.88</v>
      </c>
      <c r="G36" s="9">
        <f t="shared" si="5"/>
        <v>2939.16</v>
      </c>
      <c r="H36" s="37">
        <v>3354.2</v>
      </c>
      <c r="I36" s="10">
        <v>0</v>
      </c>
      <c r="J36" s="10">
        <v>0</v>
      </c>
      <c r="K36" s="21"/>
      <c r="L36" s="19"/>
      <c r="M36" s="13">
        <f t="shared" si="6"/>
        <v>1645.8000000000002</v>
      </c>
      <c r="N36" s="14">
        <f t="shared" si="0"/>
        <v>5000</v>
      </c>
      <c r="O36" s="5" t="s">
        <v>47</v>
      </c>
      <c r="P36" s="33">
        <f t="shared" si="1"/>
        <v>164.58000000000004</v>
      </c>
      <c r="Q36" s="33">
        <f t="shared" si="2"/>
        <v>177.74640000000005</v>
      </c>
    </row>
    <row r="37" spans="1:17" s="55" customFormat="1" x14ac:dyDescent="0.25">
      <c r="A37" s="5">
        <v>261</v>
      </c>
      <c r="B37" s="6" t="s">
        <v>55</v>
      </c>
      <c r="C37" s="7">
        <v>4000</v>
      </c>
      <c r="D37" s="7">
        <v>419.88</v>
      </c>
      <c r="E37" s="8">
        <f t="shared" si="3"/>
        <v>2519.2799999999997</v>
      </c>
      <c r="F37" s="8">
        <f t="shared" ref="F37:F57" si="7">$D$4</f>
        <v>419.88</v>
      </c>
      <c r="G37" s="9">
        <f t="shared" si="5"/>
        <v>2939.16</v>
      </c>
      <c r="H37" s="37">
        <v>2349</v>
      </c>
      <c r="I37" s="10">
        <v>300</v>
      </c>
      <c r="J37" s="10">
        <v>105</v>
      </c>
      <c r="K37" s="16">
        <v>935.46</v>
      </c>
      <c r="L37" s="19"/>
      <c r="M37" s="13">
        <f t="shared" si="6"/>
        <v>310.53999999999996</v>
      </c>
      <c r="N37" s="14">
        <f t="shared" si="0"/>
        <v>2659.54</v>
      </c>
      <c r="O37" s="5" t="s">
        <v>47</v>
      </c>
      <c r="P37" s="33">
        <f t="shared" si="1"/>
        <v>31.053999999999998</v>
      </c>
      <c r="Q37" s="33">
        <f t="shared" si="2"/>
        <v>33.538319999999999</v>
      </c>
    </row>
    <row r="38" spans="1:17" s="55" customFormat="1" x14ac:dyDescent="0.25">
      <c r="A38" s="5">
        <v>267</v>
      </c>
      <c r="B38" s="6" t="s">
        <v>56</v>
      </c>
      <c r="C38" s="7">
        <v>5000</v>
      </c>
      <c r="D38" s="7">
        <v>419.88</v>
      </c>
      <c r="E38" s="8">
        <f t="shared" si="3"/>
        <v>2519.2799999999997</v>
      </c>
      <c r="F38" s="8">
        <f t="shared" si="7"/>
        <v>419.88</v>
      </c>
      <c r="G38" s="9">
        <f t="shared" si="5"/>
        <v>2939.16</v>
      </c>
      <c r="H38" s="37">
        <v>2370.6</v>
      </c>
      <c r="I38" s="10">
        <v>300</v>
      </c>
      <c r="J38" s="10">
        <v>0</v>
      </c>
      <c r="K38" s="16">
        <v>1026.82</v>
      </c>
      <c r="L38" s="19"/>
      <c r="M38" s="13">
        <f t="shared" si="6"/>
        <v>1302.5800000000002</v>
      </c>
      <c r="N38" s="14">
        <f t="shared" si="0"/>
        <v>3673.1800000000003</v>
      </c>
      <c r="O38" s="5" t="s">
        <v>47</v>
      </c>
      <c r="P38" s="33">
        <f t="shared" si="1"/>
        <v>130.25800000000001</v>
      </c>
      <c r="Q38" s="33">
        <f t="shared" si="2"/>
        <v>140.67864000000003</v>
      </c>
    </row>
    <row r="39" spans="1:17" s="55" customFormat="1" x14ac:dyDescent="0.25">
      <c r="A39" s="5">
        <v>268</v>
      </c>
      <c r="B39" s="6" t="s">
        <v>57</v>
      </c>
      <c r="C39" s="7">
        <v>4000</v>
      </c>
      <c r="D39" s="7">
        <v>419.88</v>
      </c>
      <c r="E39" s="8">
        <f t="shared" si="3"/>
        <v>2519.2799999999997</v>
      </c>
      <c r="F39" s="8">
        <f t="shared" si="7"/>
        <v>419.88</v>
      </c>
      <c r="G39" s="9">
        <f t="shared" si="5"/>
        <v>2939.16</v>
      </c>
      <c r="H39" s="37">
        <v>3354.4</v>
      </c>
      <c r="I39" s="10">
        <v>75</v>
      </c>
      <c r="J39" s="10">
        <v>0</v>
      </c>
      <c r="K39" s="11"/>
      <c r="L39" s="19"/>
      <c r="M39" s="13">
        <f t="shared" si="6"/>
        <v>570.59999999999991</v>
      </c>
      <c r="N39" s="14">
        <f t="shared" si="0"/>
        <v>3925</v>
      </c>
      <c r="O39" s="5" t="s">
        <v>47</v>
      </c>
      <c r="P39" s="33">
        <f t="shared" si="1"/>
        <v>57.059999999999995</v>
      </c>
      <c r="Q39" s="33">
        <f t="shared" si="2"/>
        <v>61.6248</v>
      </c>
    </row>
    <row r="40" spans="1:17" s="55" customFormat="1" x14ac:dyDescent="0.25">
      <c r="A40" s="5">
        <v>269</v>
      </c>
      <c r="B40" s="6" t="s">
        <v>58</v>
      </c>
      <c r="C40" s="7">
        <v>5000</v>
      </c>
      <c r="D40" s="7">
        <v>419.88</v>
      </c>
      <c r="E40" s="8">
        <f t="shared" si="3"/>
        <v>2519.2799999999997</v>
      </c>
      <c r="F40" s="8">
        <f t="shared" si="7"/>
        <v>419.88</v>
      </c>
      <c r="G40" s="9">
        <f t="shared" si="5"/>
        <v>2939.16</v>
      </c>
      <c r="H40" s="37">
        <v>3354.2</v>
      </c>
      <c r="I40" s="10">
        <v>375</v>
      </c>
      <c r="J40" s="10">
        <v>105</v>
      </c>
      <c r="K40" s="21">
        <v>587.84</v>
      </c>
      <c r="L40" s="19"/>
      <c r="M40" s="13">
        <f t="shared" si="6"/>
        <v>577.96000000000015</v>
      </c>
      <c r="N40" s="14">
        <f t="shared" si="0"/>
        <v>3932.16</v>
      </c>
      <c r="O40" s="5" t="s">
        <v>47</v>
      </c>
      <c r="P40" s="33">
        <f t="shared" si="1"/>
        <v>57.796000000000021</v>
      </c>
      <c r="Q40" s="33">
        <f t="shared" si="2"/>
        <v>62.419680000000028</v>
      </c>
    </row>
    <row r="41" spans="1:17" s="55" customFormat="1" x14ac:dyDescent="0.25">
      <c r="A41" s="5">
        <v>271</v>
      </c>
      <c r="B41" s="6" t="s">
        <v>59</v>
      </c>
      <c r="C41" s="7">
        <v>3500</v>
      </c>
      <c r="D41" s="7">
        <v>419.88</v>
      </c>
      <c r="E41" s="8">
        <f t="shared" si="3"/>
        <v>2519.2799999999997</v>
      </c>
      <c r="F41" s="8">
        <f t="shared" si="7"/>
        <v>419.88</v>
      </c>
      <c r="G41" s="9">
        <f t="shared" si="5"/>
        <v>2939.16</v>
      </c>
      <c r="H41" s="37">
        <v>3240</v>
      </c>
      <c r="I41" s="10">
        <v>225</v>
      </c>
      <c r="J41" s="10">
        <v>35</v>
      </c>
      <c r="K41" s="21"/>
      <c r="L41" s="19"/>
      <c r="M41" s="13">
        <f t="shared" si="6"/>
        <v>0</v>
      </c>
      <c r="N41" s="14">
        <f t="shared" si="0"/>
        <v>3240</v>
      </c>
      <c r="O41" s="5" t="s">
        <v>47</v>
      </c>
      <c r="P41" s="33">
        <f t="shared" si="1"/>
        <v>0</v>
      </c>
      <c r="Q41" s="33">
        <f t="shared" si="2"/>
        <v>0</v>
      </c>
    </row>
    <row r="42" spans="1:17" s="55" customFormat="1" x14ac:dyDescent="0.25">
      <c r="A42" s="5">
        <v>275</v>
      </c>
      <c r="B42" s="6" t="s">
        <v>60</v>
      </c>
      <c r="C42" s="7">
        <v>3375</v>
      </c>
      <c r="D42" s="7">
        <v>419.88</v>
      </c>
      <c r="E42" s="8">
        <f t="shared" si="3"/>
        <v>2519.2799999999997</v>
      </c>
      <c r="F42" s="8">
        <f t="shared" si="7"/>
        <v>419.88</v>
      </c>
      <c r="G42" s="9">
        <f t="shared" si="5"/>
        <v>2939.16</v>
      </c>
      <c r="H42" s="37">
        <v>3354.2</v>
      </c>
      <c r="I42" s="10">
        <v>0</v>
      </c>
      <c r="J42" s="10">
        <v>0</v>
      </c>
      <c r="K42" s="21"/>
      <c r="L42" s="19"/>
      <c r="M42" s="13">
        <f t="shared" si="6"/>
        <v>20.800000000000182</v>
      </c>
      <c r="N42" s="14">
        <f t="shared" si="0"/>
        <v>3375</v>
      </c>
      <c r="O42" s="5" t="s">
        <v>47</v>
      </c>
      <c r="P42" s="33">
        <f t="shared" si="1"/>
        <v>2.0800000000000183</v>
      </c>
      <c r="Q42" s="33">
        <f t="shared" si="2"/>
        <v>2.2464000000000199</v>
      </c>
    </row>
    <row r="43" spans="1:17" s="55" customFormat="1" x14ac:dyDescent="0.25">
      <c r="A43" s="5">
        <v>276</v>
      </c>
      <c r="B43" s="6" t="s">
        <v>61</v>
      </c>
      <c r="C43" s="7">
        <v>5000</v>
      </c>
      <c r="D43" s="7">
        <v>419.88</v>
      </c>
      <c r="E43" s="8">
        <f t="shared" si="3"/>
        <v>2519.2799999999997</v>
      </c>
      <c r="F43" s="8">
        <f t="shared" si="7"/>
        <v>419.88</v>
      </c>
      <c r="G43" s="9">
        <f t="shared" si="5"/>
        <v>2939.16</v>
      </c>
      <c r="H43" s="37">
        <v>3354.2</v>
      </c>
      <c r="I43" s="10">
        <v>375</v>
      </c>
      <c r="J43" s="10">
        <v>35</v>
      </c>
      <c r="K43" s="11"/>
      <c r="L43" s="19"/>
      <c r="M43" s="13">
        <f t="shared" si="6"/>
        <v>1235.8000000000002</v>
      </c>
      <c r="N43" s="14">
        <f t="shared" si="0"/>
        <v>4590</v>
      </c>
      <c r="O43" s="5" t="s">
        <v>47</v>
      </c>
      <c r="P43" s="33">
        <f t="shared" si="1"/>
        <v>123.58000000000003</v>
      </c>
      <c r="Q43" s="33">
        <f t="shared" si="2"/>
        <v>133.46640000000005</v>
      </c>
    </row>
    <row r="44" spans="1:17" s="55" customFormat="1" x14ac:dyDescent="0.25">
      <c r="A44" s="70">
        <v>278</v>
      </c>
      <c r="B44" s="71" t="s">
        <v>62</v>
      </c>
      <c r="C44" s="72">
        <v>5000</v>
      </c>
      <c r="D44" s="72">
        <v>419.88</v>
      </c>
      <c r="E44" s="73">
        <f t="shared" si="3"/>
        <v>2519.2799999999997</v>
      </c>
      <c r="F44" s="73">
        <f t="shared" si="7"/>
        <v>419.88</v>
      </c>
      <c r="G44" s="74">
        <f t="shared" si="5"/>
        <v>2939.16</v>
      </c>
      <c r="H44" s="75">
        <v>0</v>
      </c>
      <c r="I44" s="76">
        <v>0</v>
      </c>
      <c r="J44" s="76">
        <v>0</v>
      </c>
      <c r="K44" s="77">
        <v>3354.4</v>
      </c>
      <c r="L44" s="78"/>
      <c r="M44" s="13">
        <f>C44-H44-I44+L44-K44-J44</f>
        <v>1645.6</v>
      </c>
      <c r="N44" s="80">
        <f t="shared" si="0"/>
        <v>1645.6</v>
      </c>
      <c r="O44" s="70" t="s">
        <v>47</v>
      </c>
      <c r="P44" s="82">
        <f t="shared" si="1"/>
        <v>164.56</v>
      </c>
      <c r="Q44" s="82">
        <f t="shared" si="2"/>
        <v>177.72480000000002</v>
      </c>
    </row>
    <row r="45" spans="1:17" s="55" customFormat="1" x14ac:dyDescent="0.25">
      <c r="A45" s="5">
        <v>279</v>
      </c>
      <c r="B45" s="6" t="s">
        <v>63</v>
      </c>
      <c r="C45" s="7">
        <v>3500</v>
      </c>
      <c r="D45" s="7">
        <v>419.88</v>
      </c>
      <c r="E45" s="8">
        <f t="shared" si="3"/>
        <v>2519.2799999999997</v>
      </c>
      <c r="F45" s="8">
        <f t="shared" si="7"/>
        <v>419.88</v>
      </c>
      <c r="G45" s="9">
        <f t="shared" si="5"/>
        <v>2939.16</v>
      </c>
      <c r="H45" s="37">
        <v>2761.6</v>
      </c>
      <c r="I45" s="10">
        <v>375</v>
      </c>
      <c r="J45" s="10">
        <v>70</v>
      </c>
      <c r="K45" s="21">
        <v>293.92</v>
      </c>
      <c r="L45" s="19"/>
      <c r="M45" s="69">
        <f>C45-H45-I45+L45-K45-J45+0.52</f>
        <v>7.5051076464660582E-14</v>
      </c>
      <c r="N45" s="14">
        <f t="shared" si="0"/>
        <v>2761.6</v>
      </c>
      <c r="O45" s="5" t="s">
        <v>47</v>
      </c>
      <c r="P45" s="33">
        <f t="shared" si="1"/>
        <v>7.5051076464660592E-15</v>
      </c>
      <c r="Q45" s="33">
        <f t="shared" si="2"/>
        <v>8.105516258183344E-15</v>
      </c>
    </row>
    <row r="46" spans="1:17" s="55" customFormat="1" x14ac:dyDescent="0.25">
      <c r="A46" s="5">
        <v>280</v>
      </c>
      <c r="B46" s="6" t="s">
        <v>64</v>
      </c>
      <c r="C46" s="7">
        <v>5000</v>
      </c>
      <c r="D46" s="7">
        <v>419.88</v>
      </c>
      <c r="E46" s="8">
        <f t="shared" si="3"/>
        <v>2519.2799999999997</v>
      </c>
      <c r="F46" s="8">
        <f t="shared" si="7"/>
        <v>419.88</v>
      </c>
      <c r="G46" s="9">
        <f t="shared" si="5"/>
        <v>2939.16</v>
      </c>
      <c r="H46" s="37">
        <v>3354.2</v>
      </c>
      <c r="I46" s="10">
        <v>0</v>
      </c>
      <c r="J46" s="10">
        <v>0</v>
      </c>
      <c r="K46" s="11"/>
      <c r="L46" s="19"/>
      <c r="M46" s="13">
        <f t="shared" si="6"/>
        <v>1645.8000000000002</v>
      </c>
      <c r="N46" s="14">
        <f t="shared" si="0"/>
        <v>5000</v>
      </c>
      <c r="O46" s="5" t="s">
        <v>47</v>
      </c>
      <c r="P46" s="33">
        <f t="shared" si="1"/>
        <v>164.58000000000004</v>
      </c>
      <c r="Q46" s="33">
        <f t="shared" si="2"/>
        <v>177.74640000000005</v>
      </c>
    </row>
    <row r="47" spans="1:17" s="55" customFormat="1" x14ac:dyDescent="0.25">
      <c r="A47" s="5">
        <v>281</v>
      </c>
      <c r="B47" s="6" t="s">
        <v>65</v>
      </c>
      <c r="C47" s="7">
        <v>8750</v>
      </c>
      <c r="D47" s="7">
        <v>419.88</v>
      </c>
      <c r="E47" s="8">
        <f t="shared" si="3"/>
        <v>2519.2799999999997</v>
      </c>
      <c r="F47" s="8">
        <f t="shared" si="7"/>
        <v>419.88</v>
      </c>
      <c r="G47" s="9">
        <f t="shared" si="5"/>
        <v>2939.16</v>
      </c>
      <c r="H47" s="37">
        <v>3354.2</v>
      </c>
      <c r="I47" s="10">
        <v>0</v>
      </c>
      <c r="J47" s="10">
        <v>0</v>
      </c>
      <c r="K47" s="11"/>
      <c r="L47" s="19"/>
      <c r="M47" s="13">
        <f t="shared" si="6"/>
        <v>5395.8</v>
      </c>
      <c r="N47" s="14">
        <f t="shared" si="0"/>
        <v>8750</v>
      </c>
      <c r="O47" s="5" t="s">
        <v>47</v>
      </c>
      <c r="P47" s="33">
        <f t="shared" si="1"/>
        <v>539.58000000000004</v>
      </c>
      <c r="Q47" s="33">
        <f t="shared" si="2"/>
        <v>582.74640000000011</v>
      </c>
    </row>
    <row r="48" spans="1:17" x14ac:dyDescent="0.25">
      <c r="A48" s="5">
        <v>283</v>
      </c>
      <c r="B48" s="6" t="s">
        <v>66</v>
      </c>
      <c r="C48" s="7">
        <v>5000</v>
      </c>
      <c r="D48" s="7">
        <v>419.88</v>
      </c>
      <c r="E48" s="8">
        <f t="shared" si="3"/>
        <v>2519.2799999999997</v>
      </c>
      <c r="F48" s="8">
        <f t="shared" si="7"/>
        <v>419.88</v>
      </c>
      <c r="G48" s="9">
        <f t="shared" si="5"/>
        <v>2939.16</v>
      </c>
      <c r="H48" s="37">
        <v>3354.4</v>
      </c>
      <c r="I48" s="10">
        <v>0</v>
      </c>
      <c r="J48" s="10">
        <v>35</v>
      </c>
      <c r="K48" s="11"/>
      <c r="L48" s="19"/>
      <c r="M48" s="13">
        <f t="shared" si="6"/>
        <v>1610.6</v>
      </c>
      <c r="N48" s="14">
        <f t="shared" si="0"/>
        <v>4965</v>
      </c>
      <c r="O48" s="5" t="s">
        <v>47</v>
      </c>
      <c r="P48" s="33">
        <f t="shared" si="1"/>
        <v>161.06</v>
      </c>
      <c r="Q48" s="33">
        <f t="shared" si="2"/>
        <v>173.94480000000001</v>
      </c>
    </row>
    <row r="49" spans="1:18" x14ac:dyDescent="0.25">
      <c r="A49" s="5">
        <v>284</v>
      </c>
      <c r="B49" s="6" t="s">
        <v>67</v>
      </c>
      <c r="C49" s="7">
        <v>4000</v>
      </c>
      <c r="D49" s="7">
        <v>419.88</v>
      </c>
      <c r="E49" s="8">
        <f t="shared" si="3"/>
        <v>2519.2799999999997</v>
      </c>
      <c r="F49" s="8">
        <f t="shared" si="7"/>
        <v>419.88</v>
      </c>
      <c r="G49" s="9">
        <f t="shared" si="5"/>
        <v>2939.16</v>
      </c>
      <c r="H49" s="37">
        <v>3354.2</v>
      </c>
      <c r="I49" s="10">
        <v>0</v>
      </c>
      <c r="J49" s="10">
        <v>0</v>
      </c>
      <c r="K49" s="11"/>
      <c r="L49" s="19"/>
      <c r="M49" s="13">
        <f t="shared" si="6"/>
        <v>645.80000000000018</v>
      </c>
      <c r="N49" s="14">
        <f t="shared" si="0"/>
        <v>4000</v>
      </c>
      <c r="O49" s="5" t="s">
        <v>47</v>
      </c>
      <c r="P49" s="33">
        <f t="shared" si="1"/>
        <v>64.580000000000027</v>
      </c>
      <c r="Q49" s="33">
        <f t="shared" si="2"/>
        <v>69.746400000000037</v>
      </c>
    </row>
    <row r="50" spans="1:18" x14ac:dyDescent="0.25">
      <c r="A50" s="5">
        <v>285</v>
      </c>
      <c r="B50" s="6" t="s">
        <v>68</v>
      </c>
      <c r="C50" s="7">
        <v>4000</v>
      </c>
      <c r="D50" s="7">
        <v>419.88</v>
      </c>
      <c r="E50" s="8">
        <f t="shared" si="3"/>
        <v>2519.2799999999997</v>
      </c>
      <c r="F50" s="8">
        <f t="shared" si="7"/>
        <v>419.88</v>
      </c>
      <c r="G50" s="9">
        <f t="shared" si="5"/>
        <v>2939.16</v>
      </c>
      <c r="H50" s="37">
        <v>3354.4</v>
      </c>
      <c r="I50" s="10">
        <v>0</v>
      </c>
      <c r="J50" s="10">
        <v>0</v>
      </c>
      <c r="K50" s="11"/>
      <c r="L50" s="19"/>
      <c r="M50" s="13">
        <f t="shared" si="6"/>
        <v>645.59999999999991</v>
      </c>
      <c r="N50" s="14">
        <f t="shared" si="0"/>
        <v>4000</v>
      </c>
      <c r="O50" s="5" t="s">
        <v>47</v>
      </c>
      <c r="P50" s="33">
        <f t="shared" si="1"/>
        <v>64.559999999999988</v>
      </c>
      <c r="Q50" s="33">
        <f t="shared" si="2"/>
        <v>69.724799999999988</v>
      </c>
    </row>
    <row r="51" spans="1:18" x14ac:dyDescent="0.25">
      <c r="A51" s="5">
        <v>286</v>
      </c>
      <c r="B51" s="6" t="s">
        <v>69</v>
      </c>
      <c r="C51" s="7">
        <v>4000</v>
      </c>
      <c r="D51" s="7">
        <v>419.88</v>
      </c>
      <c r="E51" s="8">
        <f t="shared" si="3"/>
        <v>2519.2799999999997</v>
      </c>
      <c r="F51" s="8">
        <f t="shared" si="7"/>
        <v>419.88</v>
      </c>
      <c r="G51" s="9">
        <f t="shared" si="5"/>
        <v>2939.16</v>
      </c>
      <c r="H51" s="37">
        <v>3354.4</v>
      </c>
      <c r="I51" s="10">
        <v>375</v>
      </c>
      <c r="J51" s="10">
        <v>0</v>
      </c>
      <c r="K51" s="11"/>
      <c r="L51" s="19"/>
      <c r="M51" s="13">
        <f t="shared" si="6"/>
        <v>270.59999999999991</v>
      </c>
      <c r="N51" s="14">
        <f t="shared" si="0"/>
        <v>3625</v>
      </c>
      <c r="O51" s="5" t="s">
        <v>47</v>
      </c>
      <c r="P51" s="33">
        <f t="shared" si="1"/>
        <v>27.059999999999992</v>
      </c>
      <c r="Q51" s="33">
        <f t="shared" si="2"/>
        <v>29.224799999999991</v>
      </c>
    </row>
    <row r="52" spans="1:18" x14ac:dyDescent="0.25">
      <c r="A52" s="5">
        <v>287</v>
      </c>
      <c r="B52" s="6" t="s">
        <v>72</v>
      </c>
      <c r="C52" s="7">
        <v>5000</v>
      </c>
      <c r="D52" s="7">
        <v>419.88</v>
      </c>
      <c r="E52" s="8">
        <f t="shared" si="3"/>
        <v>2519.2799999999997</v>
      </c>
      <c r="F52" s="8">
        <f t="shared" si="7"/>
        <v>419.88</v>
      </c>
      <c r="G52" s="9">
        <f t="shared" si="5"/>
        <v>2939.16</v>
      </c>
      <c r="H52" s="37">
        <v>3354.2</v>
      </c>
      <c r="I52" s="10">
        <v>300</v>
      </c>
      <c r="J52" s="10">
        <v>105</v>
      </c>
      <c r="K52" s="11"/>
      <c r="L52" s="19"/>
      <c r="M52" s="13">
        <f t="shared" si="6"/>
        <v>1240.8000000000002</v>
      </c>
      <c r="N52" s="14">
        <f t="shared" si="0"/>
        <v>4595</v>
      </c>
      <c r="O52" s="5" t="s">
        <v>47</v>
      </c>
      <c r="P52" s="33">
        <f t="shared" si="1"/>
        <v>124.08000000000003</v>
      </c>
      <c r="Q52" s="33">
        <f t="shared" si="2"/>
        <v>134.00640000000004</v>
      </c>
    </row>
    <row r="53" spans="1:18" x14ac:dyDescent="0.25">
      <c r="A53" s="5">
        <v>288</v>
      </c>
      <c r="B53" s="6" t="s">
        <v>73</v>
      </c>
      <c r="C53" s="7">
        <v>3500</v>
      </c>
      <c r="D53" s="7">
        <v>419.88</v>
      </c>
      <c r="E53" s="8">
        <f t="shared" si="3"/>
        <v>2519.2799999999997</v>
      </c>
      <c r="F53" s="8">
        <f t="shared" si="7"/>
        <v>419.88</v>
      </c>
      <c r="G53" s="9">
        <f t="shared" si="5"/>
        <v>2939.16</v>
      </c>
      <c r="H53" s="37">
        <v>3354.2</v>
      </c>
      <c r="I53" s="10">
        <v>0</v>
      </c>
      <c r="J53" s="10">
        <v>0</v>
      </c>
      <c r="K53" s="11"/>
      <c r="L53" s="19"/>
      <c r="M53" s="13">
        <f t="shared" si="6"/>
        <v>145.80000000000018</v>
      </c>
      <c r="N53" s="14">
        <f t="shared" si="0"/>
        <v>3500</v>
      </c>
      <c r="O53" s="5" t="s">
        <v>47</v>
      </c>
      <c r="P53" s="33">
        <f t="shared" si="1"/>
        <v>14.58000000000002</v>
      </c>
      <c r="Q53" s="33">
        <f t="shared" si="2"/>
        <v>15.746400000000023</v>
      </c>
    </row>
    <row r="54" spans="1:18" x14ac:dyDescent="0.25">
      <c r="A54" s="5">
        <v>289</v>
      </c>
      <c r="B54" s="6" t="s">
        <v>74</v>
      </c>
      <c r="C54" s="7">
        <v>3500</v>
      </c>
      <c r="D54" s="7">
        <v>419.88</v>
      </c>
      <c r="E54" s="8">
        <f t="shared" si="3"/>
        <v>2519.2799999999997</v>
      </c>
      <c r="F54" s="8">
        <f t="shared" si="7"/>
        <v>419.88</v>
      </c>
      <c r="G54" s="9">
        <f t="shared" si="5"/>
        <v>2939.16</v>
      </c>
      <c r="H54" s="37">
        <v>3354.2</v>
      </c>
      <c r="I54" s="10">
        <v>0</v>
      </c>
      <c r="J54" s="10">
        <v>0</v>
      </c>
      <c r="K54" s="11"/>
      <c r="L54" s="19"/>
      <c r="M54" s="13">
        <f t="shared" si="6"/>
        <v>145.80000000000018</v>
      </c>
      <c r="N54" s="14">
        <f t="shared" si="0"/>
        <v>3500</v>
      </c>
      <c r="O54" s="5" t="s">
        <v>47</v>
      </c>
      <c r="P54" s="33">
        <f t="shared" si="1"/>
        <v>14.58000000000002</v>
      </c>
      <c r="Q54" s="33">
        <f t="shared" si="2"/>
        <v>15.746400000000023</v>
      </c>
    </row>
    <row r="55" spans="1:18" x14ac:dyDescent="0.25">
      <c r="A55" s="5">
        <v>290</v>
      </c>
      <c r="B55" s="6" t="s">
        <v>75</v>
      </c>
      <c r="C55" s="7">
        <v>6250</v>
      </c>
      <c r="D55" s="7">
        <v>419.88</v>
      </c>
      <c r="E55" s="8">
        <f t="shared" si="3"/>
        <v>2519.2799999999997</v>
      </c>
      <c r="F55" s="8">
        <f t="shared" si="7"/>
        <v>419.88</v>
      </c>
      <c r="G55" s="9">
        <f t="shared" si="5"/>
        <v>2939.16</v>
      </c>
      <c r="H55" s="37">
        <v>3354.2</v>
      </c>
      <c r="I55" s="10">
        <v>0</v>
      </c>
      <c r="J55" s="10">
        <v>0</v>
      </c>
      <c r="K55" s="11"/>
      <c r="L55" s="19"/>
      <c r="M55" s="13">
        <f t="shared" si="6"/>
        <v>2895.8</v>
      </c>
      <c r="N55" s="14">
        <f t="shared" si="0"/>
        <v>6250</v>
      </c>
      <c r="O55" s="5" t="s">
        <v>47</v>
      </c>
      <c r="P55" s="33">
        <f t="shared" si="1"/>
        <v>289.58000000000004</v>
      </c>
      <c r="Q55" s="33">
        <f t="shared" si="2"/>
        <v>312.74640000000005</v>
      </c>
    </row>
    <row r="56" spans="1:18" x14ac:dyDescent="0.25">
      <c r="A56" s="5">
        <v>291</v>
      </c>
      <c r="B56" s="6" t="s">
        <v>78</v>
      </c>
      <c r="C56" s="7">
        <v>4250</v>
      </c>
      <c r="D56" s="7">
        <v>419.88</v>
      </c>
      <c r="E56" s="8">
        <f t="shared" si="3"/>
        <v>2519.2799999999997</v>
      </c>
      <c r="F56" s="8">
        <f t="shared" si="7"/>
        <v>419.88</v>
      </c>
      <c r="G56" s="9">
        <f t="shared" si="5"/>
        <v>2939.16</v>
      </c>
      <c r="H56" s="37">
        <v>3354.4</v>
      </c>
      <c r="I56" s="10">
        <v>0</v>
      </c>
      <c r="J56" s="10">
        <v>0</v>
      </c>
      <c r="K56" s="11"/>
      <c r="L56" s="19"/>
      <c r="M56" s="13">
        <f t="shared" si="6"/>
        <v>895.59999999999991</v>
      </c>
      <c r="N56" s="14">
        <f t="shared" si="0"/>
        <v>4250</v>
      </c>
      <c r="O56" s="5" t="s">
        <v>47</v>
      </c>
      <c r="P56" s="33">
        <f t="shared" si="1"/>
        <v>89.56</v>
      </c>
      <c r="Q56" s="33">
        <f t="shared" si="2"/>
        <v>96.724800000000002</v>
      </c>
    </row>
    <row r="57" spans="1:18" x14ac:dyDescent="0.25">
      <c r="A57" s="42">
        <v>291</v>
      </c>
      <c r="B57" s="43" t="s">
        <v>82</v>
      </c>
      <c r="C57" s="44">
        <v>4200</v>
      </c>
      <c r="D57" s="44">
        <v>419.88</v>
      </c>
      <c r="E57" s="45">
        <f t="shared" si="3"/>
        <v>2519.2799999999997</v>
      </c>
      <c r="F57" s="45">
        <f t="shared" si="7"/>
        <v>419.88</v>
      </c>
      <c r="G57" s="46">
        <f t="shared" si="5"/>
        <v>2939.16</v>
      </c>
      <c r="H57" s="47">
        <v>0</v>
      </c>
      <c r="I57" s="48">
        <v>0</v>
      </c>
      <c r="J57" s="48">
        <v>0</v>
      </c>
      <c r="K57" s="49"/>
      <c r="L57" s="50"/>
      <c r="M57" s="51">
        <v>0</v>
      </c>
      <c r="N57" s="52">
        <f t="shared" si="0"/>
        <v>0</v>
      </c>
      <c r="O57" s="42" t="s">
        <v>47</v>
      </c>
      <c r="P57" s="54">
        <f t="shared" si="1"/>
        <v>0</v>
      </c>
      <c r="Q57" s="54">
        <f t="shared" si="2"/>
        <v>0</v>
      </c>
    </row>
    <row r="58" spans="1:18" ht="16.149999999999999" customHeight="1" thickBot="1" x14ac:dyDescent="0.3"/>
    <row r="59" spans="1:18" ht="18" thickBot="1" x14ac:dyDescent="0.35">
      <c r="A59" s="23"/>
      <c r="B59" s="24"/>
      <c r="C59" s="25">
        <f t="shared" ref="C59:N59" si="8">SUM(C4:C58)</f>
        <v>262075</v>
      </c>
      <c r="D59" s="25">
        <f t="shared" si="8"/>
        <v>22673.52</v>
      </c>
      <c r="E59" s="25">
        <f t="shared" si="8"/>
        <v>133521.83999999997</v>
      </c>
      <c r="F59" s="25">
        <f t="shared" si="8"/>
        <v>22253.64</v>
      </c>
      <c r="G59" s="25">
        <f t="shared" si="8"/>
        <v>155775.48000000013</v>
      </c>
      <c r="H59" s="25">
        <f t="shared" si="8"/>
        <v>163469.79999999999</v>
      </c>
      <c r="I59" s="26">
        <f t="shared" si="8"/>
        <v>8475</v>
      </c>
      <c r="J59" s="26">
        <f t="shared" si="8"/>
        <v>2765</v>
      </c>
      <c r="K59" s="26">
        <f t="shared" si="8"/>
        <v>11870.38</v>
      </c>
      <c r="L59" s="27">
        <f t="shared" si="8"/>
        <v>0</v>
      </c>
      <c r="M59" s="25">
        <f t="shared" si="8"/>
        <v>71296.380000000048</v>
      </c>
      <c r="N59" s="25">
        <f t="shared" si="8"/>
        <v>234766.18000000002</v>
      </c>
      <c r="P59" s="25">
        <f>SUM(P4:P58)</f>
        <v>7129.6380000000008</v>
      </c>
      <c r="Q59" s="25">
        <f>SUM(Q4:Q58)</f>
        <v>7700.0090399999999</v>
      </c>
      <c r="R59" s="55">
        <f>+N59+Q59</f>
        <v>242466.18904000003</v>
      </c>
    </row>
    <row r="60" spans="1:18" x14ac:dyDescent="0.25">
      <c r="H60" s="15"/>
      <c r="M60" s="15"/>
    </row>
    <row r="61" spans="1:18" x14ac:dyDescent="0.25">
      <c r="H61" s="15"/>
      <c r="I61">
        <f>+I59/75</f>
        <v>113</v>
      </c>
      <c r="J61" s="28">
        <f>SUM(J59)/35</f>
        <v>79</v>
      </c>
      <c r="R61" s="55">
        <v>12886.8</v>
      </c>
    </row>
    <row r="62" spans="1:18" x14ac:dyDescent="0.25">
      <c r="F62" s="15"/>
      <c r="H62" s="15">
        <f>H59+M59</f>
        <v>234766.18000000005</v>
      </c>
      <c r="K62" s="15"/>
    </row>
    <row r="63" spans="1:18" x14ac:dyDescent="0.25">
      <c r="H63" s="15">
        <f>'[1]Nom 9'!$H$53</f>
        <v>131178.05999999994</v>
      </c>
      <c r="I63" s="40"/>
      <c r="J63" s="15"/>
    </row>
    <row r="64" spans="1:18" x14ac:dyDescent="0.25">
      <c r="H64" s="15">
        <f>[2]Rino!$H$8</f>
        <v>75398.810000000012</v>
      </c>
    </row>
    <row r="65" spans="8:8" x14ac:dyDescent="0.25">
      <c r="H65" s="15">
        <f>H63+H64</f>
        <v>206576.86999999994</v>
      </c>
    </row>
  </sheetData>
  <autoFilter ref="A3:Q57" xr:uid="{00000000-0009-0000-0000-000008000000}"/>
  <mergeCells count="2">
    <mergeCell ref="A1:N1"/>
    <mergeCell ref="A2:N2"/>
  </mergeCells>
  <pageMargins left="0.25" right="0.25" top="0.75" bottom="0.75" header="0.3" footer="0.3"/>
  <pageSetup scale="5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47</vt:i4>
      </vt:variant>
    </vt:vector>
  </HeadingPairs>
  <TitlesOfParts>
    <vt:vector size="47" baseType="lpstr">
      <vt:lpstr>Nom 01</vt:lpstr>
      <vt:lpstr>Nom 02</vt:lpstr>
      <vt:lpstr>Nom 03</vt:lpstr>
      <vt:lpstr>Nom 04</vt:lpstr>
      <vt:lpstr>Nom 05</vt:lpstr>
      <vt:lpstr>Nom 06</vt:lpstr>
      <vt:lpstr>Nom 07</vt:lpstr>
      <vt:lpstr>Nom 08</vt:lpstr>
      <vt:lpstr>Nom 09</vt:lpstr>
      <vt:lpstr>Nom 10</vt:lpstr>
      <vt:lpstr>Nom 11</vt:lpstr>
      <vt:lpstr>Nom 12</vt:lpstr>
      <vt:lpstr>Nom 13</vt:lpstr>
      <vt:lpstr>Nom 14</vt:lpstr>
      <vt:lpstr>Nom 15</vt:lpstr>
      <vt:lpstr>Nom 16</vt:lpstr>
      <vt:lpstr>Nom 16 corr</vt:lpstr>
      <vt:lpstr>Nom 17</vt:lpstr>
      <vt:lpstr>Nom 18</vt:lpstr>
      <vt:lpstr>Nom 19</vt:lpstr>
      <vt:lpstr>Nom 20</vt:lpstr>
      <vt:lpstr>Nom 21</vt:lpstr>
      <vt:lpstr>Nom 22</vt:lpstr>
      <vt:lpstr>Nom 23</vt:lpstr>
      <vt:lpstr>Nom 24</vt:lpstr>
      <vt:lpstr>Nom 25</vt:lpstr>
      <vt:lpstr>Nom 26</vt:lpstr>
      <vt:lpstr>Nom 27</vt:lpstr>
      <vt:lpstr>Nom 28</vt:lpstr>
      <vt:lpstr>Nom 29</vt:lpstr>
      <vt:lpstr>Nom 30</vt:lpstr>
      <vt:lpstr>Nom 31</vt:lpstr>
      <vt:lpstr>Nom 32</vt:lpstr>
      <vt:lpstr>Nom 33</vt:lpstr>
      <vt:lpstr>Nom 34</vt:lpstr>
      <vt:lpstr>Nom 35</vt:lpstr>
      <vt:lpstr>Nom 36</vt:lpstr>
      <vt:lpstr>Nom 37</vt:lpstr>
      <vt:lpstr>Nom 38</vt:lpstr>
      <vt:lpstr>Nom 39</vt:lpstr>
      <vt:lpstr>Nom 40</vt:lpstr>
      <vt:lpstr>Nom 41</vt:lpstr>
      <vt:lpstr>Nom 42</vt:lpstr>
      <vt:lpstr>Nom 43</vt:lpstr>
      <vt:lpstr>Nom 44</vt:lpstr>
      <vt:lpstr>Nom 45</vt:lpstr>
      <vt:lpstr>Nom 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Linda Mitchell Quiroz</cp:lastModifiedBy>
  <cp:lastPrinted>2025-11-13T19:12:07Z</cp:lastPrinted>
  <dcterms:created xsi:type="dcterms:W3CDTF">2024-01-03T17:40:51Z</dcterms:created>
  <dcterms:modified xsi:type="dcterms:W3CDTF">2025-11-13T19:20:43Z</dcterms:modified>
</cp:coreProperties>
</file>